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Monthly Plan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<sst xmlns="http://schemas.openxmlformats.org/spreadsheetml/2006/main" count="183" uniqueCount="183">
  <si>
    <t xml:space="preserve">Spojiti — Use of Funds · 18-month model · INR</t>
  </si>
  <si>
    <t xml:space="preserve">Blue = input (change me) · Yellow = key assumption · Black = formula · Green = link to another sheet. All money in INR; months are M1…M18 from launch.</t>
  </si>
  <si>
    <t xml:space="preserve">FUNDING</t>
  </si>
  <si>
    <t xml:space="preserve">Founder equity, tranche 1 (M1)</t>
  </si>
  <si>
    <t xml:space="preserve">CEO 2026-09-06: ₹1 Cr in total, as equity (share subscription), in tranches — CA to confirm the split.</t>
  </si>
  <si>
    <t xml:space="preserve">Founder equity, tranche 2 (month)</t>
  </si>
  <si>
    <t xml:space="preserve">Month the second tranche lands — M4, because the audit bills in M4–M5 (the model showed cash going negative in M5 with a M6 tranche).</t>
  </si>
  <si>
    <t xml:space="preserve">Founder equity, tranche 2 (amount)</t>
  </si>
  <si>
    <t xml:space="preserve">Founder equity, tranche 3 (month)</t>
  </si>
  <si>
    <t xml:space="preserve">Founder equity, tranche 3 (amount)</t>
  </si>
  <si>
    <t xml:space="preserve">Grant · SISFS / Elevate (amount)</t>
  </si>
  <si>
    <t xml:space="preserve">Startup India Seed Fund (₹20 L validation grant) or Karnataka Elevate (up to ₹50 L). Keep at 0 if you want the model without grants.</t>
  </si>
  <si>
    <t xml:space="preserve">Grant · SISFS / Elevate (month)</t>
  </si>
  <si>
    <t xml:space="preserve">Applications take 4–8 months; DPIIT recognition first.</t>
  </si>
  <si>
    <t xml:space="preserve">Grant · SISFS / Elevate (probability)</t>
  </si>
  <si>
    <t xml:space="preserve">Expected value is used in the plan: amount × probability.</t>
  </si>
  <si>
    <t xml:space="preserve">Grant · NLnet Restack / CodeSupply (amount)</t>
  </si>
  <si>
    <t xml:space="preserve">€5–50k; €30k ≈ ₹30 L at ~₹100/€. Requires the funded work to be open source (protocol + crypto core). Next deadline 2026-11-03.</t>
  </si>
  <si>
    <t xml:space="preserve">Grant · NLnet (month)</t>
  </si>
  <si>
    <t xml:space="preserve">Grant · NLnet (probability)</t>
  </si>
  <si>
    <t xml:space="preserve">iSAFE / angel round (amount)</t>
  </si>
  <si>
    <t xml:space="preserve">Month-9 iSAFE at a valuation cap, on retention + conversion + the public audit. 0 = do not assume it.</t>
  </si>
  <si>
    <t xml:space="preserve">iSAFE / angel round (month)</t>
  </si>
  <si>
    <t xml:space="preserve">iSAFE / angel round (probability)</t>
  </si>
  <si>
    <t xml:space="preserve">AUDIT &amp; LEGAL</t>
  </si>
  <si>
    <t xml:space="preserve">Audit Phase 1 quote (crypto core + relay)</t>
  </si>
  <si>
    <t xml:space="preserve">Spojiti-Audit-RFP.html shortlist: Radically Open Security / Least Authority / X41. Replace with the real quote when it lands.</t>
  </si>
  <si>
    <t xml:space="preserve">Audit paid by OTF Security Lab? (1 = yes, 0 = no)</t>
  </si>
  <si>
    <t xml:space="preserve">OTF Security Lab offers free audits for internet-freedom tools and is taking applications (opentech.fund/labs/security-lab). Flip to 1 once accepted.</t>
  </si>
  <si>
    <t xml:space="preserve">Audit Phase 1 month (start)</t>
  </si>
  <si>
    <t xml:space="preserve">Firms book 2–3 months out — RFP emails go out now.</t>
  </si>
  <si>
    <t xml:space="preserve">Audit Phase 1 duration (months, evenly billed)</t>
  </si>
  <si>
    <t xml:space="preserve">Lawyer, T&amp;M — hours per month</t>
  </si>
  <si>
    <t xml:space="preserve">Intermediary compliance, grievance officer, T&amp;Cs, Echoes EULA addendum, KYB templates, iSAFE docs.</t>
  </si>
  <si>
    <t xml:space="preserve">Lawyer, T&amp;M — rate per hour</t>
  </si>
  <si>
    <t xml:space="preserve">Corporate lawyer, Bengaluru, startup practice — replace with the engagement letter figure.</t>
  </si>
  <si>
    <t xml:space="preserve">Lawyer — one-off docs (iSAFE/SHA, M9)</t>
  </si>
  <si>
    <t xml:space="preserve">INFRASTRUCTURE (scales with DAU)</t>
  </si>
  <si>
    <t xml:space="preserve">Relay box, per month (each)</t>
  </si>
  <si>
    <t xml:space="preserve">v2 vision §17.1: one small box ≈ €20–40/month. Two rails + the Echo box are the fixed three.</t>
  </si>
  <si>
    <t xml:space="preserve">Fixed boxes (beta relay, prod relay, Echo box)</t>
  </si>
  <si>
    <t xml:space="preserve">Concurrent sockets per relay box</t>
  </si>
  <si>
    <t xml:space="preserve">#44: the load harness held ~1,000/box before the nofile fix; the BEAM comfortably does 15–25k per box at this size. Conservative.</t>
  </si>
  <si>
    <t xml:space="preserve">DAU → concurrent ratio</t>
  </si>
  <si>
    <t xml:space="preserve">8% of daily users online at the peak minute — Telegram/WhatsApp-class figure for a messenger.</t>
  </si>
  <si>
    <t xml:space="preserve">Postgres + object store, per month</t>
  </si>
  <si>
    <t xml:space="preserve">Managed DB + MinIO disk; grows with the DAU tier below.</t>
  </si>
  <si>
    <t xml:space="preserve">DB/storage step-up per 100k DAU, per month</t>
  </si>
  <si>
    <t xml:space="preserve">Call minutes per DAU per month</t>
  </si>
  <si>
    <t xml:space="preserve">Audio + video combined.</t>
  </si>
  <si>
    <t xml:space="preserve">Share of call minutes that need TURN</t>
  </si>
  <si>
    <t xml:space="preserve">Symmetric NATs; the rest go peer to peer.</t>
  </si>
  <si>
    <t xml:space="preserve">MB per TURN minute (blended audio/video)</t>
  </si>
  <si>
    <t xml:space="preserve">Audio ≈0.4 MB/min, video ≈11 MB/min; blended at mostly audio.</t>
  </si>
  <si>
    <t xml:space="preserve">Egress cost per GB</t>
  </si>
  <si>
    <t xml:space="preserve">Hetzner-class egress ≈ €1/TB after the free allowance → tiny; keep as a lever for a costlier host.</t>
  </si>
  <si>
    <t xml:space="preserve">Push/APNs/FCM, SMS-free (per month)</t>
  </si>
  <si>
    <t xml:space="preserve">APNs and FCM are free; kept as a line so nobody assumes otherwise.</t>
  </si>
  <si>
    <t xml:space="preserve">OPERATIONS</t>
  </si>
  <si>
    <t xml:space="preserve">Apple developer (per year)</t>
  </si>
  <si>
    <t xml:space="preserve">US$99.</t>
  </si>
  <si>
    <t xml:space="preserve">Google Play (one-off, M1)</t>
  </si>
  <si>
    <t xml:space="preserve">US$25 once.</t>
  </si>
  <si>
    <t xml:space="preserve">Domains, mail, tooling (per month)</t>
  </si>
  <si>
    <t xml:space="preserve">Accounting, filings, DPIIT (per month)</t>
  </si>
  <si>
    <t xml:space="preserve">Grievance officer / support (per month)</t>
  </si>
  <si>
    <t xml:space="preserve">Part-time from the prod launch — the intermediary duty (#109).</t>
  </si>
  <si>
    <t xml:space="preserve">Operations start month</t>
  </si>
  <si>
    <t xml:space="preserve">MARKETING</t>
  </si>
  <si>
    <t xml:space="preserve">Founding Conductors — count</t>
  </si>
  <si>
    <t xml:space="preserve">§19: 50–100 creators/communities for 90 days.</t>
  </si>
  <si>
    <t xml:space="preserve">Founding Conductors — stipend per Conductor per month</t>
  </si>
  <si>
    <t xml:space="preserve">Founding Conductors — months</t>
  </si>
  <si>
    <t xml:space="preserve">Founding Conductors — start month</t>
  </si>
  <si>
    <t xml:space="preserve">Creator / privacy-community seeding (per month)</t>
  </si>
  <si>
    <t xml:space="preserve">PR &amp; launch (one-off, month)</t>
  </si>
  <si>
    <t xml:space="preserve">PR &amp; launch (amount)</t>
  </si>
  <si>
    <t xml:space="preserve">Launch PR + the public audit report as the campaign centrepiece (M6).</t>
  </si>
  <si>
    <t xml:space="preserve">Paid acquisition per month (from M7)</t>
  </si>
  <si>
    <t xml:space="preserve">Only if D30 retention clears the bar; the one line that should grow when it works.</t>
  </si>
  <si>
    <t xml:space="preserve">Paid acquisition start month</t>
  </si>
  <si>
    <t xml:space="preserve">USERS &amp; REVENUE</t>
  </si>
  <si>
    <t xml:space="preserve">DAU at M1</t>
  </si>
  <si>
    <t xml:space="preserve">The beta cohort.</t>
  </si>
  <si>
    <t xml:space="preserve">Monthly DAU growth, M2–M6</t>
  </si>
  <si>
    <t xml:space="preserve">Monthly DAU growth, M7–M18</t>
  </si>
  <si>
    <t xml:space="preserve">Reaches ~13k DAU at M7, ~80k at M14, ~190k at M18 on these rates — your lever; the whole plan moves with it.</t>
  </si>
  <si>
    <t xml:space="preserve">Paid conversion (Pro + Pro+) of DAU</t>
  </si>
  <si>
    <t xml:space="preserve">2.5% — Telegram Premium is ~1%, Discord Nitro ~2–3%.</t>
  </si>
  <si>
    <t xml:space="preserve">Blended ARPU per paying user per month</t>
  </si>
  <si>
    <t xml:space="preserve">Pro ₹99–149, Pro+ ₹199–249 blended, India-weighted.</t>
  </si>
  <si>
    <t xml:space="preserve">Store commission on subscriptions</t>
  </si>
  <si>
    <t xml:space="preserve">Small-business tier: 15% Apple / Play.</t>
  </si>
  <si>
    <t xml:space="preserve">Share of subscriptions via stores (vs web rail)</t>
  </si>
  <si>
    <t xml:space="preserve">Business plan — paying organisations at M18</t>
  </si>
  <si>
    <t xml:space="preserve">§15.6: ramps linearly from M6.</t>
  </si>
  <si>
    <t xml:space="preserve">Business plan — per organisation per month</t>
  </si>
  <si>
    <t xml:space="preserve">Business plan start month</t>
  </si>
  <si>
    <t xml:space="preserve">RESERVE</t>
  </si>
  <si>
    <t xml:space="preserve">Reserve (untouched until M12)</t>
  </si>
  <si>
    <t xml:space="preserve">Shown in Summary as a line, not spent in the plan.</t>
  </si>
  <si>
    <t xml:space="preserve">Monthly plan — every cell is a formula on Inputs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</si>
  <si>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</si>
  <si>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</si>
  <si>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</si>
  <si>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</si>
  <si>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</si>
  <si>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</si>
  <si>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</si>
  <si>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</si>
  <si>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</si>
  <si>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</si>
  <si>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</si>
  <si>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</si>
  <si>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</si>
  <si>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</si>
  <si>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</si>
  <si>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</si>
  <si>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</si>
  <si>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</si>
  <si>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</si>
  <si>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18-month total</t>
  </si>
  <si>
    <t xml:space="preserve">USERS</t>
  </si>
  <si>
    <t xml:space="preserve">DAU (daily active users)</t>
  </si>
  <si>
    <t xml:space="preserve">Concurrent sockets at peak</t>
  </si>
  <si>
    <t xml:space="preserve">Relay boxes needed (fixed + scale)</t>
  </si>
  <si>
    <t xml:space="preserve">Paying subscribers</t>
  </si>
  <si>
    <t xml:space="preserve">Business organisations</t>
  </si>
  <si>
    <t xml:space="preserve">REVENUE (net of store commission)</t>
  </si>
  <si>
    <t xml:space="preserve">Subscriptions, net</t>
  </si>
  <si>
    <t xml:space="preserve">Business plan</t>
  </si>
  <si>
    <t xml:space="preserve">Total revenue</t>
  </si>
  <si>
    <t xml:space="preserve">COSTS</t>
  </si>
  <si>
    <t xml:space="preserve">Audit Phase 1</t>
  </si>
  <si>
    <t xml:space="preserve">Legal, T&amp;M</t>
  </si>
  <si>
    <t xml:space="preserve">Infra · relay boxes</t>
  </si>
  <si>
    <t xml:space="preserve">Infra · DB + storage</t>
  </si>
  <si>
    <t xml:space="preserve">Infra · TURN egress</t>
  </si>
  <si>
    <t xml:space="preserve">Ops · stores, domains, tooling, accounting</t>
  </si>
  <si>
    <t xml:space="preserve">Ops · grievance officer / support</t>
  </si>
  <si>
    <t xml:space="preserve">Marketing · Founding Conductors</t>
  </si>
  <si>
    <t xml:space="preserve">Marketing · creator / community seeding</t>
  </si>
  <si>
    <t xml:space="preserve">Marketing · PR &amp; launch</t>
  </si>
  <si>
    <t xml:space="preserve">Marketing · paid acquisition</t>
  </si>
  <si>
    <t xml:space="preserve">Total costs</t>
  </si>
  <si>
    <t xml:space="preserve">CASH</t>
  </si>
  <si>
    <t xml:space="preserve">Net burn (revenue − costs)</t>
  </si>
  <si>
    <t xml:space="preserve">Founder equity in</t>
  </si>
  <si>
    <t xml:space="preserve">Grants in (expected value)</t>
  </si>
  <si>
    <t xml:space="preserve">iSAFE / angels in (expected value)</t>
  </si>
  <si>
    <t xml:space="preserve">Closing cash</t>
  </si>
  <si>
    <t xml:space="preserve">Closing cash — founder money only (no grants, no round)</t>
  </si>
  <si>
    <t xml:space="preserve">Summary — 18 months</t>
  </si>
  <si>
    <t xml:space="preserve">Use of funds (18 months)</t>
  </si>
  <si>
    <t xml:space="preserve">Security audit, Phase 1</t>
  </si>
  <si>
    <t xml:space="preserve">Legal, T&amp;M + round docs</t>
  </si>
  <si>
    <t xml:space="preserve">Infrastructure, stepped with DAU</t>
  </si>
  <si>
    <t xml:space="preserve">Operations</t>
  </si>
  <si>
    <t xml:space="preserve">Marketing</t>
  </si>
  <si>
    <t xml:space="preserve">Reserve (held, not in the plan)</t>
  </si>
  <si>
    <t xml:space="preserve">Total to fund (costs + reserve)</t>
  </si>
  <si>
    <t xml:space="preserve">Where it comes from</t>
  </si>
  <si>
    <t xml:space="preserve">Founder equity</t>
  </si>
  <si>
    <t xml:space="preserve">Grants, expected value</t>
  </si>
  <si>
    <t xml:space="preserve">iSAFE / angels, expected value</t>
  </si>
  <si>
    <t xml:space="preserve">Revenue over 18 months</t>
  </si>
  <si>
    <t xml:space="preserve">Total sources</t>
  </si>
  <si>
    <t xml:space="preserve">The three numbers that matter</t>
  </si>
  <si>
    <t xml:space="preserve">Lowest closing cash in the plan</t>
  </si>
  <si>
    <t xml:space="preserve">Negative = the plan runs out of money that month; raise earlier or cut marketing.</t>
  </si>
  <si>
    <t xml:space="preserve">First month cash goes negative (0 = never)</t>
  </si>
  <si>
    <t xml:space="preserve">Founder money alone — first month negative (0 = never)</t>
  </si>
  <si>
    <t xml:space="preserve">What happens if no grant and no round lands: the honest runway on ₹1 Cr.</t>
  </si>
  <si>
    <t xml:space="preserve">Monthly burn at M18 (costs)</t>
  </si>
  <si>
    <t xml:space="preserve">Monthly revenue at M18</t>
  </si>
  <si>
    <t xml:space="preserve">DAU at M18</t>
  </si>
  <si>
    <t xml:space="preserve">Relay boxes at M18</t>
  </si>
  <si>
    <t xml:space="preserve">How to use</t>
  </si>
  <si>
    <t xml:space="preserve">Change only the blue/yellow cells on Inputs. Everything else recalculates.</t>
  </si>
  <si>
    <t xml:space="preserve">Grants and the round are entered as expected value (amount × probability). Set a probability to 0 to see the plan without it, or to 1 once it is signed.</t>
  </si>
  <si>
    <t xml:space="preserve">The 'founder money only' line is the honest floor: on today's inputs it says how far ₹1 Cr goes if nothing else lands.</t>
  </si>
  <si>
    <t xml:space="preserve">Replace the audit quote, the lawyer's rate and the box price with real figures as they arrive — the model is only as good as those three.</t>
  </si>
  <si>
    <t xml:space="preserve">Sources: audit shortlist Spojiti-Audit-RFP.html; box cost v2 vision §17.1; socket ceiling #44 load harness; OTF Security Lab opentech.fund/labs/security-lab; NLnet nlnet.nl/funding.html (deadline 2026-11-03).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</si>
</sst>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₹#,##0;&quot;(₹&quot;#,##0\);\-"/>
    <numFmt numFmtId="166" formatCode="#,##0;\(#,##0\);\-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55555"/>
      <name val="Arial"/>
      <family val="0"/>
      <charset val="1"/>
    </font>
    <font>
      <sz val="11"/>
      <color rgb="FF008000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2</v>
      </c>
      <c r="B4" s="2"/>
      <c r="C4" s="2"/>
    </row>
    <row r="5" customFormat="false" ht="22.35" hidden="false" customHeight="false" outlineLevel="0" collapsed="false">
      <c r="A5" s="5" t="s">
        <v>3</v>
      </c>
      <c r="B5" s="6" t="n">
        <v>4000000</v>
      </c>
      <c r="C5" s="7" t="s">
        <v>4</v>
      </c>
    </row>
    <row r="6" customFormat="false" ht="22.35" hidden="false" customHeight="false" outlineLevel="0" collapsed="false">
      <c r="A6" s="5" t="s">
        <v>5</v>
      </c>
      <c r="B6" s="8" t="n">
        <v>4</v>
      </c>
      <c r="C6" s="7" t="s">
        <v>6</v>
      </c>
    </row>
    <row r="7" customFormat="false" ht="15" hidden="false" customHeight="false" outlineLevel="0" collapsed="false">
      <c r="A7" s="5" t="s">
        <v>7</v>
      </c>
      <c r="B7" s="6" t="n">
        <v>3000000</v>
      </c>
      <c r="C7" s="7"/>
    </row>
    <row r="8" customFormat="false" ht="15" hidden="false" customHeight="false" outlineLevel="0" collapsed="false">
      <c r="A8" s="5" t="s">
        <v>8</v>
      </c>
      <c r="B8" s="8" t="n">
        <v>12</v>
      </c>
      <c r="C8" s="7"/>
    </row>
    <row r="9" customFormat="false" ht="15" hidden="false" customHeight="false" outlineLevel="0" collapsed="false">
      <c r="A9" s="5" t="s">
        <v>9</v>
      </c>
      <c r="B9" s="6" t="n">
        <v>3000000</v>
      </c>
      <c r="C9" s="7"/>
    </row>
    <row r="10" customFormat="false" ht="22.35" hidden="false" customHeight="false" outlineLevel="0" collapsed="false">
      <c r="A10" s="5" t="s">
        <v>10</v>
      </c>
      <c r="B10" s="6" t="n">
        <v>2000000</v>
      </c>
      <c r="C10" s="7" t="s">
        <v>11</v>
      </c>
    </row>
    <row r="11" customFormat="false" ht="15" hidden="false" customHeight="false" outlineLevel="0" collapsed="false">
      <c r="A11" s="5" t="s">
        <v>12</v>
      </c>
      <c r="B11" s="8" t="n">
        <v>8</v>
      </c>
      <c r="C11" s="7" t="s">
        <v>13</v>
      </c>
    </row>
    <row r="12" customFormat="false" ht="15" hidden="false" customHeight="false" outlineLevel="0" collapsed="false">
      <c r="A12" s="5" t="s">
        <v>14</v>
      </c>
      <c r="B12" s="9" t="n">
        <v>0.5</v>
      </c>
      <c r="C12" s="7" t="s">
        <v>15</v>
      </c>
    </row>
    <row r="13" customFormat="false" ht="22.35" hidden="false" customHeight="false" outlineLevel="0" collapsed="false">
      <c r="A13" s="5" t="s">
        <v>16</v>
      </c>
      <c r="B13" s="6" t="n">
        <v>3000000</v>
      </c>
      <c r="C13" s="7" t="s">
        <v>17</v>
      </c>
    </row>
    <row r="14" customFormat="false" ht="15" hidden="false" customHeight="false" outlineLevel="0" collapsed="false">
      <c r="A14" s="5" t="s">
        <v>18</v>
      </c>
      <c r="B14" s="8" t="n">
        <v>7</v>
      </c>
      <c r="C14" s="7"/>
    </row>
    <row r="15" customFormat="false" ht="15" hidden="false" customHeight="false" outlineLevel="0" collapsed="false">
      <c r="A15" s="5" t="s">
        <v>19</v>
      </c>
      <c r="B15" s="9" t="n">
        <v>0.35</v>
      </c>
      <c r="C15" s="7"/>
    </row>
    <row r="16" customFormat="false" ht="22.35" hidden="false" customHeight="false" outlineLevel="0" collapsed="false">
      <c r="A16" s="5" t="s">
        <v>20</v>
      </c>
      <c r="B16" s="6" t="n">
        <v>8000000</v>
      </c>
      <c r="C16" s="7" t="s">
        <v>21</v>
      </c>
    </row>
    <row r="17" customFormat="false" ht="15" hidden="false" customHeight="false" outlineLevel="0" collapsed="false">
      <c r="A17" s="5" t="s">
        <v>22</v>
      </c>
      <c r="B17" s="8" t="n">
        <v>10</v>
      </c>
      <c r="C17" s="7"/>
    </row>
    <row r="18" customFormat="false" ht="15" hidden="false" customHeight="false" outlineLevel="0" collapsed="false">
      <c r="A18" s="5" t="s">
        <v>23</v>
      </c>
      <c r="B18" s="9" t="n">
        <v>0.6</v>
      </c>
      <c r="C18" s="7"/>
    </row>
    <row r="19" customFormat="false" ht="15" hidden="false" customHeight="false" outlineLevel="0" collapsed="false">
      <c r="A19" s="4" t="s">
        <v>24</v>
      </c>
      <c r="B19" s="2"/>
      <c r="C19" s="2"/>
    </row>
    <row r="20" customFormat="false" ht="22.35" hidden="false" customHeight="false" outlineLevel="0" collapsed="false">
      <c r="A20" s="5" t="s">
        <v>25</v>
      </c>
      <c r="B20" s="6" t="n">
        <v>3500000</v>
      </c>
      <c r="C20" s="7" t="s">
        <v>26</v>
      </c>
    </row>
    <row r="21" customFormat="false" ht="22.35" hidden="false" customHeight="false" outlineLevel="0" collapsed="false">
      <c r="A21" s="5" t="s">
        <v>27</v>
      </c>
      <c r="B21" s="8" t="n">
        <v>0</v>
      </c>
      <c r="C21" s="7" t="s">
        <v>28</v>
      </c>
    </row>
    <row r="22" customFormat="false" ht="15" hidden="false" customHeight="false" outlineLevel="0" collapsed="false">
      <c r="A22" s="5" t="s">
        <v>29</v>
      </c>
      <c r="B22" s="8" t="n">
        <v>4</v>
      </c>
      <c r="C22" s="7" t="s">
        <v>30</v>
      </c>
    </row>
    <row r="23" customFormat="false" ht="15" hidden="false" customHeight="false" outlineLevel="0" collapsed="false">
      <c r="A23" s="5" t="s">
        <v>31</v>
      </c>
      <c r="B23" s="8" t="n">
        <v>2</v>
      </c>
      <c r="C23" s="7"/>
    </row>
    <row r="24" customFormat="false" ht="22.35" hidden="false" customHeight="false" outlineLevel="0" collapsed="false">
      <c r="A24" s="5" t="s">
        <v>32</v>
      </c>
      <c r="B24" s="8" t="n">
        <v>8</v>
      </c>
      <c r="C24" s="7" t="s">
        <v>33</v>
      </c>
    </row>
    <row r="25" customFormat="false" ht="15" hidden="false" customHeight="false" outlineLevel="0" collapsed="false">
      <c r="A25" s="5" t="s">
        <v>34</v>
      </c>
      <c r="B25" s="6" t="n">
        <v>6000</v>
      </c>
      <c r="C25" s="7" t="s">
        <v>35</v>
      </c>
    </row>
    <row r="26" customFormat="false" ht="15" hidden="false" customHeight="false" outlineLevel="0" collapsed="false">
      <c r="A26" s="5" t="s">
        <v>36</v>
      </c>
      <c r="B26" s="6" t="n">
        <v>300000</v>
      </c>
      <c r="C26" s="7"/>
    </row>
    <row r="27" customFormat="false" ht="15" hidden="false" customHeight="false" outlineLevel="0" collapsed="false">
      <c r="A27" s="4" t="s">
        <v>37</v>
      </c>
      <c r="B27" s="2"/>
      <c r="C27" s="2"/>
    </row>
    <row r="28" customFormat="false" ht="15" hidden="false" customHeight="false" outlineLevel="0" collapsed="false">
      <c r="A28" s="5" t="s">
        <v>38</v>
      </c>
      <c r="B28" s="6" t="n">
        <v>4000</v>
      </c>
      <c r="C28" s="7" t="s">
        <v>39</v>
      </c>
    </row>
    <row r="29" customFormat="false" ht="15" hidden="false" customHeight="false" outlineLevel="0" collapsed="false">
      <c r="A29" s="5" t="s">
        <v>40</v>
      </c>
      <c r="B29" s="8" t="n">
        <v>3</v>
      </c>
      <c r="C29" s="7"/>
    </row>
    <row r="30" customFormat="false" ht="22.35" hidden="false" customHeight="false" outlineLevel="0" collapsed="false">
      <c r="A30" s="5" t="s">
        <v>41</v>
      </c>
      <c r="B30" s="8" t="n">
        <v>15000</v>
      </c>
      <c r="C30" s="7" t="s">
        <v>42</v>
      </c>
    </row>
    <row r="31" customFormat="false" ht="22.35" hidden="false" customHeight="false" outlineLevel="0" collapsed="false">
      <c r="A31" s="5" t="s">
        <v>43</v>
      </c>
      <c r="B31" s="9" t="n">
        <v>0.08</v>
      </c>
      <c r="C31" s="7" t="s">
        <v>44</v>
      </c>
    </row>
    <row r="32" customFormat="false" ht="15" hidden="false" customHeight="false" outlineLevel="0" collapsed="false">
      <c r="A32" s="5" t="s">
        <v>45</v>
      </c>
      <c r="B32" s="6" t="n">
        <v>3000</v>
      </c>
      <c r="C32" s="7" t="s">
        <v>46</v>
      </c>
    </row>
    <row r="33" customFormat="false" ht="15" hidden="false" customHeight="false" outlineLevel="0" collapsed="false">
      <c r="A33" s="5" t="s">
        <v>47</v>
      </c>
      <c r="B33" s="6" t="n">
        <v>5000</v>
      </c>
      <c r="C33" s="7"/>
    </row>
    <row r="34" customFormat="false" ht="15" hidden="false" customHeight="false" outlineLevel="0" collapsed="false">
      <c r="A34" s="5" t="s">
        <v>48</v>
      </c>
      <c r="B34" s="8" t="n">
        <v>6</v>
      </c>
      <c r="C34" s="7" t="s">
        <v>49</v>
      </c>
    </row>
    <row r="35" customFormat="false" ht="15" hidden="false" customHeight="false" outlineLevel="0" collapsed="false">
      <c r="A35" s="5" t="s">
        <v>50</v>
      </c>
      <c r="B35" s="9" t="n">
        <v>0.2</v>
      </c>
      <c r="C35" s="7" t="s">
        <v>51</v>
      </c>
    </row>
    <row r="36" customFormat="false" ht="15" hidden="false" customHeight="false" outlineLevel="0" collapsed="false">
      <c r="A36" s="5" t="s">
        <v>52</v>
      </c>
      <c r="B36" s="8" t="n">
        <v>4</v>
      </c>
      <c r="C36" s="7" t="s">
        <v>53</v>
      </c>
    </row>
    <row r="37" customFormat="false" ht="22.35" hidden="false" customHeight="false" outlineLevel="0" collapsed="false">
      <c r="A37" s="5" t="s">
        <v>54</v>
      </c>
      <c r="B37" s="6" t="n">
        <v>1.5</v>
      </c>
      <c r="C37" s="7" t="s">
        <v>55</v>
      </c>
    </row>
    <row r="38" customFormat="false" ht="15" hidden="false" customHeight="false" outlineLevel="0" collapsed="false">
      <c r="A38" s="5" t="s">
        <v>56</v>
      </c>
      <c r="B38" s="6" t="n">
        <v>0</v>
      </c>
      <c r="C38" s="7" t="s">
        <v>57</v>
      </c>
    </row>
    <row r="39" customFormat="false" ht="15" hidden="false" customHeight="false" outlineLevel="0" collapsed="false">
      <c r="A39" s="4" t="s">
        <v>58</v>
      </c>
      <c r="B39" s="2"/>
      <c r="C39" s="2"/>
    </row>
    <row r="40" customFormat="false" ht="15" hidden="false" customHeight="false" outlineLevel="0" collapsed="false">
      <c r="A40" s="5" t="s">
        <v>59</v>
      </c>
      <c r="B40" s="6" t="n">
        <v>8300</v>
      </c>
      <c r="C40" s="7" t="s">
        <v>60</v>
      </c>
    </row>
    <row r="41" customFormat="false" ht="15" hidden="false" customHeight="false" outlineLevel="0" collapsed="false">
      <c r="A41" s="5" t="s">
        <v>61</v>
      </c>
      <c r="B41" s="6" t="n">
        <v>2100</v>
      </c>
      <c r="C41" s="7" t="s">
        <v>62</v>
      </c>
    </row>
    <row r="42" customFormat="false" ht="15" hidden="false" customHeight="false" outlineLevel="0" collapsed="false">
      <c r="A42" s="5" t="s">
        <v>63</v>
      </c>
      <c r="B42" s="6" t="n">
        <v>6000</v>
      </c>
      <c r="C42" s="7"/>
    </row>
    <row r="43" customFormat="false" ht="15" hidden="false" customHeight="false" outlineLevel="0" collapsed="false">
      <c r="A43" s="5" t="s">
        <v>64</v>
      </c>
      <c r="B43" s="6" t="n">
        <v>8000</v>
      </c>
      <c r="C43" s="7"/>
    </row>
    <row r="44" customFormat="false" ht="15" hidden="false" customHeight="false" outlineLevel="0" collapsed="false">
      <c r="A44" s="5" t="s">
        <v>65</v>
      </c>
      <c r="B44" s="6" t="n">
        <v>25000</v>
      </c>
      <c r="C44" s="7" t="s">
        <v>66</v>
      </c>
    </row>
    <row r="45" customFormat="false" ht="15" hidden="false" customHeight="false" outlineLevel="0" collapsed="false">
      <c r="A45" s="5" t="s">
        <v>67</v>
      </c>
      <c r="B45" s="8" t="n">
        <v>2</v>
      </c>
      <c r="C45" s="7"/>
    </row>
    <row r="46" customFormat="false" ht="15" hidden="false" customHeight="false" outlineLevel="0" collapsed="false">
      <c r="A46" s="4" t="s">
        <v>68</v>
      </c>
      <c r="B46" s="2"/>
      <c r="C46" s="2"/>
    </row>
    <row r="47" customFormat="false" ht="15" hidden="false" customHeight="false" outlineLevel="0" collapsed="false">
      <c r="A47" s="5" t="s">
        <v>69</v>
      </c>
      <c r="B47" s="8" t="n">
        <v>60</v>
      </c>
      <c r="C47" s="7" t="s">
        <v>70</v>
      </c>
    </row>
    <row r="48" customFormat="false" ht="15" hidden="false" customHeight="false" outlineLevel="0" collapsed="false">
      <c r="A48" s="5" t="s">
        <v>71</v>
      </c>
      <c r="B48" s="6" t="n">
        <v>5000</v>
      </c>
      <c r="C48" s="7"/>
    </row>
    <row r="49" customFormat="false" ht="15" hidden="false" customHeight="false" outlineLevel="0" collapsed="false">
      <c r="A49" s="5" t="s">
        <v>72</v>
      </c>
      <c r="B49" s="8" t="n">
        <v>3</v>
      </c>
      <c r="C49" s="7"/>
    </row>
    <row r="50" customFormat="false" ht="15" hidden="false" customHeight="false" outlineLevel="0" collapsed="false">
      <c r="A50" s="5" t="s">
        <v>73</v>
      </c>
      <c r="B50" s="8" t="n">
        <v>3</v>
      </c>
      <c r="C50" s="7"/>
    </row>
    <row r="51" customFormat="false" ht="15" hidden="false" customHeight="false" outlineLevel="0" collapsed="false">
      <c r="A51" s="5" t="s">
        <v>74</v>
      </c>
      <c r="B51" s="6" t="n">
        <v>60000</v>
      </c>
      <c r="C51" s="7"/>
    </row>
    <row r="52" customFormat="false" ht="15" hidden="false" customHeight="false" outlineLevel="0" collapsed="false">
      <c r="A52" s="5" t="s">
        <v>75</v>
      </c>
      <c r="B52" s="8" t="n">
        <v>3</v>
      </c>
      <c r="C52" s="7"/>
    </row>
    <row r="53" customFormat="false" ht="15" hidden="false" customHeight="false" outlineLevel="0" collapsed="false">
      <c r="A53" s="5" t="s">
        <v>76</v>
      </c>
      <c r="B53" s="6" t="n">
        <v>400000</v>
      </c>
      <c r="C53" s="7" t="s">
        <v>77</v>
      </c>
    </row>
    <row r="54" customFormat="false" ht="15" hidden="false" customHeight="false" outlineLevel="0" collapsed="false">
      <c r="A54" s="5" t="s">
        <v>78</v>
      </c>
      <c r="B54" s="6" t="n">
        <v>150000</v>
      </c>
      <c r="C54" s="7" t="s">
        <v>79</v>
      </c>
    </row>
    <row r="55" customFormat="false" ht="15" hidden="false" customHeight="false" outlineLevel="0" collapsed="false">
      <c r="A55" s="5" t="s">
        <v>80</v>
      </c>
      <c r="B55" s="8" t="n">
        <v>7</v>
      </c>
      <c r="C55" s="7"/>
    </row>
    <row r="56" customFormat="false" ht="15" hidden="false" customHeight="false" outlineLevel="0" collapsed="false">
      <c r="A56" s="4" t="s">
        <v>81</v>
      </c>
      <c r="B56" s="2"/>
      <c r="C56" s="2"/>
    </row>
    <row r="57" customFormat="false" ht="15" hidden="false" customHeight="false" outlineLevel="0" collapsed="false">
      <c r="A57" s="5" t="s">
        <v>82</v>
      </c>
      <c r="B57" s="8" t="n">
        <v>500</v>
      </c>
      <c r="C57" s="7" t="s">
        <v>83</v>
      </c>
    </row>
    <row r="58" customFormat="false" ht="15" hidden="false" customHeight="false" outlineLevel="0" collapsed="false">
      <c r="A58" s="5" t="s">
        <v>84</v>
      </c>
      <c r="B58" s="9" t="n">
        <v>0.6</v>
      </c>
      <c r="C58" s="7"/>
    </row>
    <row r="59" customFormat="false" ht="22.35" hidden="false" customHeight="false" outlineLevel="0" collapsed="false">
      <c r="A59" s="5" t="s">
        <v>85</v>
      </c>
      <c r="B59" s="9" t="n">
        <v>0.35</v>
      </c>
      <c r="C59" s="7" t="s">
        <v>86</v>
      </c>
    </row>
    <row r="60" customFormat="false" ht="15" hidden="false" customHeight="false" outlineLevel="0" collapsed="false">
      <c r="A60" s="5" t="s">
        <v>87</v>
      </c>
      <c r="B60" s="9" t="n">
        <v>0.025</v>
      </c>
      <c r="C60" s="7" t="s">
        <v>88</v>
      </c>
    </row>
    <row r="61" customFormat="false" ht="15" hidden="false" customHeight="false" outlineLevel="0" collapsed="false">
      <c r="A61" s="5" t="s">
        <v>89</v>
      </c>
      <c r="B61" s="6" t="n">
        <v>149</v>
      </c>
      <c r="C61" s="7" t="s">
        <v>90</v>
      </c>
    </row>
    <row r="62" customFormat="false" ht="15" hidden="false" customHeight="false" outlineLevel="0" collapsed="false">
      <c r="A62" s="5" t="s">
        <v>91</v>
      </c>
      <c r="B62" s="9" t="n">
        <v>0.15</v>
      </c>
      <c r="C62" s="7" t="s">
        <v>92</v>
      </c>
    </row>
    <row r="63" customFormat="false" ht="15" hidden="false" customHeight="false" outlineLevel="0" collapsed="false">
      <c r="A63" s="5" t="s">
        <v>93</v>
      </c>
      <c r="B63" s="9" t="n">
        <v>0.7</v>
      </c>
      <c r="C63" s="7"/>
    </row>
    <row r="64" customFormat="false" ht="15" hidden="false" customHeight="false" outlineLevel="0" collapsed="false">
      <c r="A64" s="5" t="s">
        <v>94</v>
      </c>
      <c r="B64" s="8" t="n">
        <v>40</v>
      </c>
      <c r="C64" s="7" t="s">
        <v>95</v>
      </c>
    </row>
    <row r="65" customFormat="false" ht="15" hidden="false" customHeight="false" outlineLevel="0" collapsed="false">
      <c r="A65" s="5" t="s">
        <v>96</v>
      </c>
      <c r="B65" s="6" t="n">
        <v>2500</v>
      </c>
      <c r="C65" s="7"/>
    </row>
    <row r="66" customFormat="false" ht="15" hidden="false" customHeight="false" outlineLevel="0" collapsed="false">
      <c r="A66" s="5" t="s">
        <v>97</v>
      </c>
      <c r="B66" s="8" t="n">
        <v>6</v>
      </c>
      <c r="C66" s="7"/>
    </row>
    <row r="67" customFormat="false" ht="15" hidden="false" customHeight="false" outlineLevel="0" collapsed="false">
      <c r="A67" s="4" t="s">
        <v>98</v>
      </c>
      <c r="B67" s="2"/>
      <c r="C67" s="2"/>
    </row>
    <row r="68" customFormat="false" ht="15" hidden="false" customHeight="false" outlineLevel="0" collapsed="false">
      <c r="A68" s="5" t="s">
        <v>99</v>
      </c>
      <c r="B68" s="6" t="n">
        <v>1000000</v>
      </c>
      <c r="C68" s="7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9" min="2" style="0" width="13"/>
    <col collapsed="false" customWidth="true" hidden="false" outlineLevel="0" max="20" min="20" style="0" width="15"/>
  </cols>
  <sheetData>
    <row r="1" customFormat="false" ht="17.35" hidden="false" customHeight="false" outlineLevel="0" collapsed="false">
      <c r="A1" s="1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15" hidden="false" customHeight="false" outlineLevel="0" collapsed="false">
      <c r="A3" s="10" t="s">
        <v>102</v>
      </c>
      <c r="B3" s="11" t="s">
        <v>103</v>
      </c>
      <c r="C3" s="11" t="s">
        <v>104</v>
      </c>
      <c r="D3" s="11" t="s">
        <v>105</v>
      </c>
      <c r="E3" s="11" t="s">
        <v>106</v>
      </c>
      <c r="F3" s="11" t="s">
        <v>107</v>
      </c>
      <c r="G3" s="11" t="s">
        <v>108</v>
      </c>
      <c r="H3" s="11" t="s">
        <v>109</v>
      </c>
      <c r="I3" s="11" t="s">
        <v>110</v>
      </c>
      <c r="J3" s="11" t="s">
        <v>111</v>
      </c>
      <c r="K3" s="11" t="s">
        <v>112</v>
      </c>
      <c r="L3" s="11" t="s">
        <v>113</v>
      </c>
      <c r="M3" s="11" t="s">
        <v>114</v>
      </c>
      <c r="N3" s="11" t="s">
        <v>115</v>
      </c>
      <c r="O3" s="11" t="s">
        <v>116</v>
      </c>
      <c r="P3" s="11" t="s">
        <v>117</v>
      </c>
      <c r="Q3" s="11" t="s">
        <v>118</v>
      </c>
      <c r="R3" s="11" t="s">
        <v>119</v>
      </c>
      <c r="S3" s="11" t="s">
        <v>120</v>
      </c>
      <c r="T3" s="10" t="s">
        <v>121</v>
      </c>
    </row>
    <row r="4" customFormat="false" ht="15" hidden="false" customHeight="false" outlineLevel="0" collapsed="false">
      <c r="A4" s="4" t="s">
        <v>122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customFormat="false" ht="15" hidden="false" customHeight="false" outlineLevel="0" collapsed="false">
      <c r="A5" s="5" t="s">
        <v>123</v>
      </c>
      <c r="B5" s="13" t="n">
        <f aca="false">Inputs!$B$57</f>
        <v>500</v>
      </c>
      <c r="C5" s="13" t="n">
        <f aca="false">ROUND(B5*(1+Inputs!$B$58),0)</f>
        <v>800</v>
      </c>
      <c r="D5" s="13" t="n">
        <f aca="false">ROUND(C5*(1+Inputs!$B$58),0)</f>
        <v>1280</v>
      </c>
      <c r="E5" s="13" t="n">
        <f aca="false">ROUND(D5*(1+Inputs!$B$58),0)</f>
        <v>2048</v>
      </c>
      <c r="F5" s="13" t="n">
        <f aca="false">ROUND(E5*(1+Inputs!$B$58),0)</f>
        <v>3277</v>
      </c>
      <c r="G5" s="13" t="n">
        <f aca="false">ROUND(F5*(1+Inputs!$B$58),0)</f>
        <v>5243</v>
      </c>
      <c r="H5" s="13" t="n">
        <f aca="false">ROUND(G5*(1+Inputs!$B$59),0)</f>
        <v>7078</v>
      </c>
      <c r="I5" s="13" t="n">
        <f aca="false">ROUND(H5*(1+Inputs!$B$59),0)</f>
        <v>9555</v>
      </c>
      <c r="J5" s="13" t="n">
        <f aca="false">ROUND(I5*(1+Inputs!$B$59),0)</f>
        <v>12899</v>
      </c>
      <c r="K5" s="13" t="n">
        <f aca="false">ROUND(J5*(1+Inputs!$B$59),0)</f>
        <v>17414</v>
      </c>
      <c r="L5" s="13" t="n">
        <f aca="false">ROUND(K5*(1+Inputs!$B$59),0)</f>
        <v>23509</v>
      </c>
      <c r="M5" s="13" t="n">
        <f aca="false">ROUND(L5*(1+Inputs!$B$59),0)</f>
        <v>31737</v>
      </c>
      <c r="N5" s="13" t="n">
        <f aca="false">ROUND(M5*(1+Inputs!$B$59),0)</f>
        <v>42845</v>
      </c>
      <c r="O5" s="13" t="n">
        <f aca="false">ROUND(N5*(1+Inputs!$B$59),0)</f>
        <v>57841</v>
      </c>
      <c r="P5" s="13" t="n">
        <f aca="false">ROUND(O5*(1+Inputs!$B$59),0)</f>
        <v>78085</v>
      </c>
      <c r="Q5" s="13" t="n">
        <f aca="false">ROUND(P5*(1+Inputs!$B$59),0)</f>
        <v>105415</v>
      </c>
      <c r="R5" s="13" t="n">
        <f aca="false">ROUND(Q5*(1+Inputs!$B$59),0)</f>
        <v>142310</v>
      </c>
      <c r="S5" s="13" t="n">
        <f aca="false">ROUND(R5*(1+Inputs!$B$59),0)</f>
        <v>192119</v>
      </c>
      <c r="T5" s="2"/>
    </row>
    <row r="6" customFormat="false" ht="15" hidden="false" customHeight="false" outlineLevel="0" collapsed="false">
      <c r="A6" s="5" t="s">
        <v>124</v>
      </c>
      <c r="B6" s="13" t="n">
        <f aca="false">ROUND(B5*Inputs!$B$31,0)</f>
        <v>40</v>
      </c>
      <c r="C6" s="13" t="n">
        <f aca="false">ROUND(C5*Inputs!$B$31,0)</f>
        <v>64</v>
      </c>
      <c r="D6" s="13" t="n">
        <f aca="false">ROUND(D5*Inputs!$B$31,0)</f>
        <v>102</v>
      </c>
      <c r="E6" s="13" t="n">
        <f aca="false">ROUND(E5*Inputs!$B$31,0)</f>
        <v>164</v>
      </c>
      <c r="F6" s="13" t="n">
        <f aca="false">ROUND(F5*Inputs!$B$31,0)</f>
        <v>262</v>
      </c>
      <c r="G6" s="13" t="n">
        <f aca="false">ROUND(G5*Inputs!$B$31,0)</f>
        <v>419</v>
      </c>
      <c r="H6" s="13" t="n">
        <f aca="false">ROUND(H5*Inputs!$B$31,0)</f>
        <v>566</v>
      </c>
      <c r="I6" s="13" t="n">
        <f aca="false">ROUND(I5*Inputs!$B$31,0)</f>
        <v>764</v>
      </c>
      <c r="J6" s="13" t="n">
        <f aca="false">ROUND(J5*Inputs!$B$31,0)</f>
        <v>1032</v>
      </c>
      <c r="K6" s="13" t="n">
        <f aca="false">ROUND(K5*Inputs!$B$31,0)</f>
        <v>1393</v>
      </c>
      <c r="L6" s="13" t="n">
        <f aca="false">ROUND(L5*Inputs!$B$31,0)</f>
        <v>1881</v>
      </c>
      <c r="M6" s="13" t="n">
        <f aca="false">ROUND(M5*Inputs!$B$31,0)</f>
        <v>2539</v>
      </c>
      <c r="N6" s="13" t="n">
        <f aca="false">ROUND(N5*Inputs!$B$31,0)</f>
        <v>3428</v>
      </c>
      <c r="O6" s="13" t="n">
        <f aca="false">ROUND(O5*Inputs!$B$31,0)</f>
        <v>4627</v>
      </c>
      <c r="P6" s="13" t="n">
        <f aca="false">ROUND(P5*Inputs!$B$31,0)</f>
        <v>6247</v>
      </c>
      <c r="Q6" s="13" t="n">
        <f aca="false">ROUND(Q5*Inputs!$B$31,0)</f>
        <v>8433</v>
      </c>
      <c r="R6" s="13" t="n">
        <f aca="false">ROUND(R5*Inputs!$B$31,0)</f>
        <v>11385</v>
      </c>
      <c r="S6" s="13" t="n">
        <f aca="false">ROUND(S5*Inputs!$B$31,0)</f>
        <v>15370</v>
      </c>
      <c r="T6" s="2"/>
    </row>
    <row r="7" customFormat="false" ht="15" hidden="false" customHeight="false" outlineLevel="0" collapsed="false">
      <c r="A7" s="5" t="s">
        <v>125</v>
      </c>
      <c r="B7" s="13" t="n">
        <f aca="false">Inputs!$B$29+MAX(0,CEILING(B6/Inputs!$B$30,1)-1)</f>
        <v>3</v>
      </c>
      <c r="C7" s="13" t="n">
        <f aca="false">Inputs!$B$29+MAX(0,CEILING(C6/Inputs!$B$30,1)-1)</f>
        <v>3</v>
      </c>
      <c r="D7" s="13" t="n">
        <f aca="false">Inputs!$B$29+MAX(0,CEILING(D6/Inputs!$B$30,1)-1)</f>
        <v>3</v>
      </c>
      <c r="E7" s="13" t="n">
        <f aca="false">Inputs!$B$29+MAX(0,CEILING(E6/Inputs!$B$30,1)-1)</f>
        <v>3</v>
      </c>
      <c r="F7" s="13" t="n">
        <f aca="false">Inputs!$B$29+MAX(0,CEILING(F6/Inputs!$B$30,1)-1)</f>
        <v>3</v>
      </c>
      <c r="G7" s="13" t="n">
        <f aca="false">Inputs!$B$29+MAX(0,CEILING(G6/Inputs!$B$30,1)-1)</f>
        <v>3</v>
      </c>
      <c r="H7" s="13" t="n">
        <f aca="false">Inputs!$B$29+MAX(0,CEILING(H6/Inputs!$B$30,1)-1)</f>
        <v>3</v>
      </c>
      <c r="I7" s="13" t="n">
        <f aca="false">Inputs!$B$29+MAX(0,CEILING(I6/Inputs!$B$30,1)-1)</f>
        <v>3</v>
      </c>
      <c r="J7" s="13" t="n">
        <f aca="false">Inputs!$B$29+MAX(0,CEILING(J6/Inputs!$B$30,1)-1)</f>
        <v>3</v>
      </c>
      <c r="K7" s="13" t="n">
        <f aca="false">Inputs!$B$29+MAX(0,CEILING(K6/Inputs!$B$30,1)-1)</f>
        <v>3</v>
      </c>
      <c r="L7" s="13" t="n">
        <f aca="false">Inputs!$B$29+MAX(0,CEILING(L6/Inputs!$B$30,1)-1)</f>
        <v>3</v>
      </c>
      <c r="M7" s="13" t="n">
        <f aca="false">Inputs!$B$29+MAX(0,CEILING(M6/Inputs!$B$30,1)-1)</f>
        <v>3</v>
      </c>
      <c r="N7" s="13" t="n">
        <f aca="false">Inputs!$B$29+MAX(0,CEILING(N6/Inputs!$B$30,1)-1)</f>
        <v>3</v>
      </c>
      <c r="O7" s="13" t="n">
        <f aca="false">Inputs!$B$29+MAX(0,CEILING(O6/Inputs!$B$30,1)-1)</f>
        <v>3</v>
      </c>
      <c r="P7" s="13" t="n">
        <f aca="false">Inputs!$B$29+MAX(0,CEILING(P6/Inputs!$B$30,1)-1)</f>
        <v>3</v>
      </c>
      <c r="Q7" s="13" t="n">
        <f aca="false">Inputs!$B$29+MAX(0,CEILING(Q6/Inputs!$B$30,1)-1)</f>
        <v>3</v>
      </c>
      <c r="R7" s="13" t="n">
        <f aca="false">Inputs!$B$29+MAX(0,CEILING(R6/Inputs!$B$30,1)-1)</f>
        <v>3</v>
      </c>
      <c r="S7" s="13" t="n">
        <f aca="false">Inputs!$B$29+MAX(0,CEILING(S6/Inputs!$B$30,1)-1)</f>
        <v>4</v>
      </c>
      <c r="T7" s="2"/>
    </row>
    <row r="8" customFormat="false" ht="15" hidden="false" customHeight="false" outlineLevel="0" collapsed="false">
      <c r="A8" s="5" t="s">
        <v>126</v>
      </c>
      <c r="B8" s="13" t="n">
        <f aca="false">ROUND(B5*Inputs!$B$60,0)</f>
        <v>13</v>
      </c>
      <c r="C8" s="13" t="n">
        <f aca="false">ROUND(C5*Inputs!$B$60,0)</f>
        <v>20</v>
      </c>
      <c r="D8" s="13" t="n">
        <f aca="false">ROUND(D5*Inputs!$B$60,0)</f>
        <v>32</v>
      </c>
      <c r="E8" s="13" t="n">
        <f aca="false">ROUND(E5*Inputs!$B$60,0)</f>
        <v>51</v>
      </c>
      <c r="F8" s="13" t="n">
        <f aca="false">ROUND(F5*Inputs!$B$60,0)</f>
        <v>82</v>
      </c>
      <c r="G8" s="13" t="n">
        <f aca="false">ROUND(G5*Inputs!$B$60,0)</f>
        <v>131</v>
      </c>
      <c r="H8" s="13" t="n">
        <f aca="false">ROUND(H5*Inputs!$B$60,0)</f>
        <v>177</v>
      </c>
      <c r="I8" s="13" t="n">
        <f aca="false">ROUND(I5*Inputs!$B$60,0)</f>
        <v>239</v>
      </c>
      <c r="J8" s="13" t="n">
        <f aca="false">ROUND(J5*Inputs!$B$60,0)</f>
        <v>322</v>
      </c>
      <c r="K8" s="13" t="n">
        <f aca="false">ROUND(K5*Inputs!$B$60,0)</f>
        <v>435</v>
      </c>
      <c r="L8" s="13" t="n">
        <f aca="false">ROUND(L5*Inputs!$B$60,0)</f>
        <v>588</v>
      </c>
      <c r="M8" s="13" t="n">
        <f aca="false">ROUND(M5*Inputs!$B$60,0)</f>
        <v>793</v>
      </c>
      <c r="N8" s="13" t="n">
        <f aca="false">ROUND(N5*Inputs!$B$60,0)</f>
        <v>1071</v>
      </c>
      <c r="O8" s="13" t="n">
        <f aca="false">ROUND(O5*Inputs!$B$60,0)</f>
        <v>1446</v>
      </c>
      <c r="P8" s="13" t="n">
        <f aca="false">ROUND(P5*Inputs!$B$60,0)</f>
        <v>1952</v>
      </c>
      <c r="Q8" s="13" t="n">
        <f aca="false">ROUND(Q5*Inputs!$B$60,0)</f>
        <v>2635</v>
      </c>
      <c r="R8" s="13" t="n">
        <f aca="false">ROUND(R5*Inputs!$B$60,0)</f>
        <v>3558</v>
      </c>
      <c r="S8" s="13" t="n">
        <f aca="false">ROUND(S5*Inputs!$B$60,0)</f>
        <v>4803</v>
      </c>
      <c r="T8" s="2"/>
    </row>
    <row r="9" customFormat="false" ht="15" hidden="false" customHeight="false" outlineLevel="0" collapsed="false">
      <c r="A9" s="5" t="s">
        <v>127</v>
      </c>
      <c r="B9" s="13" t="n">
        <f aca="false">IF(1&lt;Inputs!$B$66,0,ROUND(Inputs!$B$64*(1-Inputs!$B$66+1)/(18-Inputs!$B$66+1),0))</f>
        <v>0</v>
      </c>
      <c r="C9" s="13" t="n">
        <f aca="false">IF(2&lt;Inputs!$B$66,0,ROUND(Inputs!$B$64*(2-Inputs!$B$66+1)/(18-Inputs!$B$66+1),0))</f>
        <v>0</v>
      </c>
      <c r="D9" s="13" t="n">
        <f aca="false">IF(3&lt;Inputs!$B$66,0,ROUND(Inputs!$B$64*(3-Inputs!$B$66+1)/(18-Inputs!$B$66+1),0))</f>
        <v>0</v>
      </c>
      <c r="E9" s="13" t="n">
        <f aca="false">IF(4&lt;Inputs!$B$66,0,ROUND(Inputs!$B$64*(4-Inputs!$B$66+1)/(18-Inputs!$B$66+1),0))</f>
        <v>0</v>
      </c>
      <c r="F9" s="13" t="n">
        <f aca="false">IF(5&lt;Inputs!$B$66,0,ROUND(Inputs!$B$64*(5-Inputs!$B$66+1)/(18-Inputs!$B$66+1),0))</f>
        <v>0</v>
      </c>
      <c r="G9" s="13" t="n">
        <f aca="false">IF(6&lt;Inputs!$B$66,0,ROUND(Inputs!$B$64*(6-Inputs!$B$66+1)/(18-Inputs!$B$66+1),0))</f>
        <v>3</v>
      </c>
      <c r="H9" s="13" t="n">
        <f aca="false">IF(7&lt;Inputs!$B$66,0,ROUND(Inputs!$B$64*(7-Inputs!$B$66+1)/(18-Inputs!$B$66+1),0))</f>
        <v>6</v>
      </c>
      <c r="I9" s="13" t="n">
        <f aca="false">IF(8&lt;Inputs!$B$66,0,ROUND(Inputs!$B$64*(8-Inputs!$B$66+1)/(18-Inputs!$B$66+1),0))</f>
        <v>9</v>
      </c>
      <c r="J9" s="13" t="n">
        <f aca="false">IF(9&lt;Inputs!$B$66,0,ROUND(Inputs!$B$64*(9-Inputs!$B$66+1)/(18-Inputs!$B$66+1),0))</f>
        <v>12</v>
      </c>
      <c r="K9" s="13" t="n">
        <f aca="false">IF(10&lt;Inputs!$B$66,0,ROUND(Inputs!$B$64*(10-Inputs!$B$66+1)/(18-Inputs!$B$66+1),0))</f>
        <v>15</v>
      </c>
      <c r="L9" s="13" t="n">
        <f aca="false">IF(11&lt;Inputs!$B$66,0,ROUND(Inputs!$B$64*(11-Inputs!$B$66+1)/(18-Inputs!$B$66+1),0))</f>
        <v>18</v>
      </c>
      <c r="M9" s="13" t="n">
        <f aca="false">IF(12&lt;Inputs!$B$66,0,ROUND(Inputs!$B$64*(12-Inputs!$B$66+1)/(18-Inputs!$B$66+1),0))</f>
        <v>22</v>
      </c>
      <c r="N9" s="13" t="n">
        <f aca="false">IF(13&lt;Inputs!$B$66,0,ROUND(Inputs!$B$64*(13-Inputs!$B$66+1)/(18-Inputs!$B$66+1),0))</f>
        <v>25</v>
      </c>
      <c r="O9" s="13" t="n">
        <f aca="false">IF(14&lt;Inputs!$B$66,0,ROUND(Inputs!$B$64*(14-Inputs!$B$66+1)/(18-Inputs!$B$66+1),0))</f>
        <v>28</v>
      </c>
      <c r="P9" s="13" t="n">
        <f aca="false">IF(15&lt;Inputs!$B$66,0,ROUND(Inputs!$B$64*(15-Inputs!$B$66+1)/(18-Inputs!$B$66+1),0))</f>
        <v>31</v>
      </c>
      <c r="Q9" s="13" t="n">
        <f aca="false">IF(16&lt;Inputs!$B$66,0,ROUND(Inputs!$B$64*(16-Inputs!$B$66+1)/(18-Inputs!$B$66+1),0))</f>
        <v>34</v>
      </c>
      <c r="R9" s="13" t="n">
        <f aca="false">IF(17&lt;Inputs!$B$66,0,ROUND(Inputs!$B$64*(17-Inputs!$B$66+1)/(18-Inputs!$B$66+1),0))</f>
        <v>37</v>
      </c>
      <c r="S9" s="13" t="n">
        <f aca="false">IF(18&lt;Inputs!$B$66,0,ROUND(Inputs!$B$64*(18-Inputs!$B$66+1)/(18-Inputs!$B$66+1),0))</f>
        <v>40</v>
      </c>
      <c r="T9" s="2"/>
    </row>
    <row r="10" customFormat="false" ht="15" hidden="false" customHeight="false" outlineLevel="0" collapsed="false">
      <c r="A10" s="4" t="s">
        <v>128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customFormat="false" ht="15" hidden="false" customHeight="false" outlineLevel="0" collapsed="false">
      <c r="A11" s="5" t="s">
        <v>129</v>
      </c>
      <c r="B11" s="14" t="n">
        <f aca="false">B8*Inputs!$B$61*(1-Inputs!$B$62*Inputs!$B$63)</f>
        <v>1733.615</v>
      </c>
      <c r="C11" s="14" t="n">
        <f aca="false">C8*Inputs!$B$61*(1-Inputs!$B$62*Inputs!$B$63)</f>
        <v>2667.1</v>
      </c>
      <c r="D11" s="14" t="n">
        <f aca="false">D8*Inputs!$B$61*(1-Inputs!$B$62*Inputs!$B$63)</f>
        <v>4267.36</v>
      </c>
      <c r="E11" s="14" t="n">
        <f aca="false">E8*Inputs!$B$61*(1-Inputs!$B$62*Inputs!$B$63)</f>
        <v>6801.105</v>
      </c>
      <c r="F11" s="14" t="n">
        <f aca="false">F8*Inputs!$B$61*(1-Inputs!$B$62*Inputs!$B$63)</f>
        <v>10935.11</v>
      </c>
      <c r="G11" s="14" t="n">
        <f aca="false">G8*Inputs!$B$61*(1-Inputs!$B$62*Inputs!$B$63)</f>
        <v>17469.505</v>
      </c>
      <c r="H11" s="14" t="n">
        <f aca="false">H8*Inputs!$B$61*(1-Inputs!$B$62*Inputs!$B$63)</f>
        <v>23603.835</v>
      </c>
      <c r="I11" s="14" t="n">
        <f aca="false">I8*Inputs!$B$61*(1-Inputs!$B$62*Inputs!$B$63)</f>
        <v>31871.845</v>
      </c>
      <c r="J11" s="14" t="n">
        <f aca="false">J8*Inputs!$B$61*(1-Inputs!$B$62*Inputs!$B$63)</f>
        <v>42940.31</v>
      </c>
      <c r="K11" s="14" t="n">
        <f aca="false">K8*Inputs!$B$61*(1-Inputs!$B$62*Inputs!$B$63)</f>
        <v>58009.425</v>
      </c>
      <c r="L11" s="14" t="n">
        <f aca="false">L8*Inputs!$B$61*(1-Inputs!$B$62*Inputs!$B$63)</f>
        <v>78412.74</v>
      </c>
      <c r="M11" s="14" t="n">
        <f aca="false">M8*Inputs!$B$61*(1-Inputs!$B$62*Inputs!$B$63)</f>
        <v>105750.515</v>
      </c>
      <c r="N11" s="14" t="n">
        <f aca="false">N8*Inputs!$B$61*(1-Inputs!$B$62*Inputs!$B$63)</f>
        <v>142823.205</v>
      </c>
      <c r="O11" s="14" t="n">
        <f aca="false">O8*Inputs!$B$61*(1-Inputs!$B$62*Inputs!$B$63)</f>
        <v>192831.33</v>
      </c>
      <c r="P11" s="14" t="n">
        <f aca="false">P8*Inputs!$B$61*(1-Inputs!$B$62*Inputs!$B$63)</f>
        <v>260308.96</v>
      </c>
      <c r="Q11" s="14" t="n">
        <f aca="false">Q8*Inputs!$B$61*(1-Inputs!$B$62*Inputs!$B$63)</f>
        <v>351390.425</v>
      </c>
      <c r="R11" s="14" t="n">
        <f aca="false">R8*Inputs!$B$61*(1-Inputs!$B$62*Inputs!$B$63)</f>
        <v>474477.09</v>
      </c>
      <c r="S11" s="14" t="n">
        <f aca="false">S8*Inputs!$B$61*(1-Inputs!$B$62*Inputs!$B$63)</f>
        <v>640504.065</v>
      </c>
      <c r="T11" s="15" t="n">
        <f aca="false">SUM(B11:S11)</f>
        <v>2446797.54</v>
      </c>
    </row>
    <row r="12" customFormat="false" ht="15" hidden="false" customHeight="false" outlineLevel="0" collapsed="false">
      <c r="A12" s="5" t="s">
        <v>130</v>
      </c>
      <c r="B12" s="14" t="n">
        <f aca="false">B9*Inputs!$B$65</f>
        <v>0</v>
      </c>
      <c r="C12" s="14" t="n">
        <f aca="false">C9*Inputs!$B$65</f>
        <v>0</v>
      </c>
      <c r="D12" s="14" t="n">
        <f aca="false">D9*Inputs!$B$65</f>
        <v>0</v>
      </c>
      <c r="E12" s="14" t="n">
        <f aca="false">E9*Inputs!$B$65</f>
        <v>0</v>
      </c>
      <c r="F12" s="14" t="n">
        <f aca="false">F9*Inputs!$B$65</f>
        <v>0</v>
      </c>
      <c r="G12" s="14" t="n">
        <f aca="false">G9*Inputs!$B$65</f>
        <v>7500</v>
      </c>
      <c r="H12" s="14" t="n">
        <f aca="false">H9*Inputs!$B$65</f>
        <v>15000</v>
      </c>
      <c r="I12" s="14" t="n">
        <f aca="false">I9*Inputs!$B$65</f>
        <v>22500</v>
      </c>
      <c r="J12" s="14" t="n">
        <f aca="false">J9*Inputs!$B$65</f>
        <v>30000</v>
      </c>
      <c r="K12" s="14" t="n">
        <f aca="false">K9*Inputs!$B$65</f>
        <v>37500</v>
      </c>
      <c r="L12" s="14" t="n">
        <f aca="false">L9*Inputs!$B$65</f>
        <v>45000</v>
      </c>
      <c r="M12" s="14" t="n">
        <f aca="false">M9*Inputs!$B$65</f>
        <v>55000</v>
      </c>
      <c r="N12" s="14" t="n">
        <f aca="false">N9*Inputs!$B$65</f>
        <v>62500</v>
      </c>
      <c r="O12" s="14" t="n">
        <f aca="false">O9*Inputs!$B$65</f>
        <v>70000</v>
      </c>
      <c r="P12" s="14" t="n">
        <f aca="false">P9*Inputs!$B$65</f>
        <v>77500</v>
      </c>
      <c r="Q12" s="14" t="n">
        <f aca="false">Q9*Inputs!$B$65</f>
        <v>85000</v>
      </c>
      <c r="R12" s="14" t="n">
        <f aca="false">R9*Inputs!$B$65</f>
        <v>92500</v>
      </c>
      <c r="S12" s="14" t="n">
        <f aca="false">S9*Inputs!$B$65</f>
        <v>100000</v>
      </c>
      <c r="T12" s="15" t="n">
        <f aca="false">SUM(B12:S12)</f>
        <v>700000</v>
      </c>
    </row>
    <row r="13" customFormat="false" ht="15" hidden="false" customHeight="false" outlineLevel="0" collapsed="false">
      <c r="A13" s="10" t="s">
        <v>131</v>
      </c>
      <c r="B13" s="15" t="n">
        <f aca="false">B11+B12</f>
        <v>1733.615</v>
      </c>
      <c r="C13" s="15" t="n">
        <f aca="false">C11+C12</f>
        <v>2667.1</v>
      </c>
      <c r="D13" s="15" t="n">
        <f aca="false">D11+D12</f>
        <v>4267.36</v>
      </c>
      <c r="E13" s="15" t="n">
        <f aca="false">E11+E12</f>
        <v>6801.105</v>
      </c>
      <c r="F13" s="15" t="n">
        <f aca="false">F11+F12</f>
        <v>10935.11</v>
      </c>
      <c r="G13" s="15" t="n">
        <f aca="false">G11+G12</f>
        <v>24969.505</v>
      </c>
      <c r="H13" s="15" t="n">
        <f aca="false">H11+H12</f>
        <v>38603.835</v>
      </c>
      <c r="I13" s="15" t="n">
        <f aca="false">I11+I12</f>
        <v>54371.845</v>
      </c>
      <c r="J13" s="15" t="n">
        <f aca="false">J11+J12</f>
        <v>72940.31</v>
      </c>
      <c r="K13" s="15" t="n">
        <f aca="false">K11+K12</f>
        <v>95509.425</v>
      </c>
      <c r="L13" s="15" t="n">
        <f aca="false">L11+L12</f>
        <v>123412.74</v>
      </c>
      <c r="M13" s="15" t="n">
        <f aca="false">M11+M12</f>
        <v>160750.515</v>
      </c>
      <c r="N13" s="15" t="n">
        <f aca="false">N11+N12</f>
        <v>205323.205</v>
      </c>
      <c r="O13" s="15" t="n">
        <f aca="false">O11+O12</f>
        <v>262831.33</v>
      </c>
      <c r="P13" s="15" t="n">
        <f aca="false">P11+P12</f>
        <v>337808.96</v>
      </c>
      <c r="Q13" s="15" t="n">
        <f aca="false">Q11+Q12</f>
        <v>436390.425</v>
      </c>
      <c r="R13" s="15" t="n">
        <f aca="false">R11+R12</f>
        <v>566977.09</v>
      </c>
      <c r="S13" s="15" t="n">
        <f aca="false">S11+S12</f>
        <v>740504.065</v>
      </c>
      <c r="T13" s="15" t="n">
        <f aca="false">SUM(B13:S13)</f>
        <v>3146797.54</v>
      </c>
    </row>
    <row r="14" customFormat="false" ht="15" hidden="false" customHeight="false" outlineLevel="0" collapsed="false">
      <c r="A14" s="4" t="s">
        <v>132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customFormat="false" ht="15" hidden="false" customHeight="false" outlineLevel="0" collapsed="false">
      <c r="A15" s="5" t="s">
        <v>133</v>
      </c>
      <c r="B15" s="14" t="n">
        <f aca="false">IF(Inputs!$B$21=1,0,IF(AND(1&gt;=Inputs!$B$22,1&lt;Inputs!$B$22+Inputs!$B$23),Inputs!$B$20/Inputs!$B$23,0))</f>
        <v>0</v>
      </c>
      <c r="C15" s="14" t="n">
        <f aca="false">IF(Inputs!$B$21=1,0,IF(AND(2&gt;=Inputs!$B$22,2&lt;Inputs!$B$22+Inputs!$B$23),Inputs!$B$20/Inputs!$B$23,0))</f>
        <v>0</v>
      </c>
      <c r="D15" s="14" t="n">
        <f aca="false">IF(Inputs!$B$21=1,0,IF(AND(3&gt;=Inputs!$B$22,3&lt;Inputs!$B$22+Inputs!$B$23),Inputs!$B$20/Inputs!$B$23,0))</f>
        <v>0</v>
      </c>
      <c r="E15" s="14" t="n">
        <f aca="false">IF(Inputs!$B$21=1,0,IF(AND(4&gt;=Inputs!$B$22,4&lt;Inputs!$B$22+Inputs!$B$23),Inputs!$B$20/Inputs!$B$23,0))</f>
        <v>1750000</v>
      </c>
      <c r="F15" s="14" t="n">
        <f aca="false">IF(Inputs!$B$21=1,0,IF(AND(5&gt;=Inputs!$B$22,5&lt;Inputs!$B$22+Inputs!$B$23),Inputs!$B$20/Inputs!$B$23,0))</f>
        <v>1750000</v>
      </c>
      <c r="G15" s="14" t="n">
        <f aca="false">IF(Inputs!$B$21=1,0,IF(AND(6&gt;=Inputs!$B$22,6&lt;Inputs!$B$22+Inputs!$B$23),Inputs!$B$20/Inputs!$B$23,0))</f>
        <v>0</v>
      </c>
      <c r="H15" s="14" t="n">
        <f aca="false">IF(Inputs!$B$21=1,0,IF(AND(7&gt;=Inputs!$B$22,7&lt;Inputs!$B$22+Inputs!$B$23),Inputs!$B$20/Inputs!$B$23,0))</f>
        <v>0</v>
      </c>
      <c r="I15" s="14" t="n">
        <f aca="false">IF(Inputs!$B$21=1,0,IF(AND(8&gt;=Inputs!$B$22,8&lt;Inputs!$B$22+Inputs!$B$23),Inputs!$B$20/Inputs!$B$23,0))</f>
        <v>0</v>
      </c>
      <c r="J15" s="14" t="n">
        <f aca="false">IF(Inputs!$B$21=1,0,IF(AND(9&gt;=Inputs!$B$22,9&lt;Inputs!$B$22+Inputs!$B$23),Inputs!$B$20/Inputs!$B$23,0))</f>
        <v>0</v>
      </c>
      <c r="K15" s="14" t="n">
        <f aca="false">IF(Inputs!$B$21=1,0,IF(AND(10&gt;=Inputs!$B$22,10&lt;Inputs!$B$22+Inputs!$B$23),Inputs!$B$20/Inputs!$B$23,0))</f>
        <v>0</v>
      </c>
      <c r="L15" s="14" t="n">
        <f aca="false">IF(Inputs!$B$21=1,0,IF(AND(11&gt;=Inputs!$B$22,11&lt;Inputs!$B$22+Inputs!$B$23),Inputs!$B$20/Inputs!$B$23,0))</f>
        <v>0</v>
      </c>
      <c r="M15" s="14" t="n">
        <f aca="false">IF(Inputs!$B$21=1,0,IF(AND(12&gt;=Inputs!$B$22,12&lt;Inputs!$B$22+Inputs!$B$23),Inputs!$B$20/Inputs!$B$23,0))</f>
        <v>0</v>
      </c>
      <c r="N15" s="14" t="n">
        <f aca="false">IF(Inputs!$B$21=1,0,IF(AND(13&gt;=Inputs!$B$22,13&lt;Inputs!$B$22+Inputs!$B$23),Inputs!$B$20/Inputs!$B$23,0))</f>
        <v>0</v>
      </c>
      <c r="O15" s="14" t="n">
        <f aca="false">IF(Inputs!$B$21=1,0,IF(AND(14&gt;=Inputs!$B$22,14&lt;Inputs!$B$22+Inputs!$B$23),Inputs!$B$20/Inputs!$B$23,0))</f>
        <v>0</v>
      </c>
      <c r="P15" s="14" t="n">
        <f aca="false">IF(Inputs!$B$21=1,0,IF(AND(15&gt;=Inputs!$B$22,15&lt;Inputs!$B$22+Inputs!$B$23),Inputs!$B$20/Inputs!$B$23,0))</f>
        <v>0</v>
      </c>
      <c r="Q15" s="14" t="n">
        <f aca="false">IF(Inputs!$B$21=1,0,IF(AND(16&gt;=Inputs!$B$22,16&lt;Inputs!$B$22+Inputs!$B$23),Inputs!$B$20/Inputs!$B$23,0))</f>
        <v>0</v>
      </c>
      <c r="R15" s="14" t="n">
        <f aca="false">IF(Inputs!$B$21=1,0,IF(AND(17&gt;=Inputs!$B$22,17&lt;Inputs!$B$22+Inputs!$B$23),Inputs!$B$20/Inputs!$B$23,0))</f>
        <v>0</v>
      </c>
      <c r="S15" s="14" t="n">
        <f aca="false">IF(Inputs!$B$21=1,0,IF(AND(18&gt;=Inputs!$B$22,18&lt;Inputs!$B$22+Inputs!$B$23),Inputs!$B$20/Inputs!$B$23,0))</f>
        <v>0</v>
      </c>
      <c r="T15" s="15" t="n">
        <f aca="false">SUM(B15:S15)</f>
        <v>3500000</v>
      </c>
    </row>
    <row r="16" customFormat="false" ht="15" hidden="false" customHeight="false" outlineLevel="0" collapsed="false">
      <c r="A16" s="5" t="s">
        <v>134</v>
      </c>
      <c r="B16" s="14" t="n">
        <f aca="false">Inputs!$B$24*Inputs!$B$25+IF(1=9,Inputs!$B$26,0)</f>
        <v>48000</v>
      </c>
      <c r="C16" s="14" t="n">
        <f aca="false">Inputs!$B$24*Inputs!$B$25+IF(2=9,Inputs!$B$26,0)</f>
        <v>48000</v>
      </c>
      <c r="D16" s="14" t="n">
        <f aca="false">Inputs!$B$24*Inputs!$B$25+IF(3=9,Inputs!$B$26,0)</f>
        <v>48000</v>
      </c>
      <c r="E16" s="14" t="n">
        <f aca="false">Inputs!$B$24*Inputs!$B$25+IF(4=9,Inputs!$B$26,0)</f>
        <v>48000</v>
      </c>
      <c r="F16" s="14" t="n">
        <f aca="false">Inputs!$B$24*Inputs!$B$25+IF(5=9,Inputs!$B$26,0)</f>
        <v>48000</v>
      </c>
      <c r="G16" s="14" t="n">
        <f aca="false">Inputs!$B$24*Inputs!$B$25+IF(6=9,Inputs!$B$26,0)</f>
        <v>48000</v>
      </c>
      <c r="H16" s="14" t="n">
        <f aca="false">Inputs!$B$24*Inputs!$B$25+IF(7=9,Inputs!$B$26,0)</f>
        <v>48000</v>
      </c>
      <c r="I16" s="14" t="n">
        <f aca="false">Inputs!$B$24*Inputs!$B$25+IF(8=9,Inputs!$B$26,0)</f>
        <v>48000</v>
      </c>
      <c r="J16" s="14" t="n">
        <f aca="false">Inputs!$B$24*Inputs!$B$25+IF(9=9,Inputs!$B$26,0)</f>
        <v>348000</v>
      </c>
      <c r="K16" s="14" t="n">
        <f aca="false">Inputs!$B$24*Inputs!$B$25+IF(10=9,Inputs!$B$26,0)</f>
        <v>48000</v>
      </c>
      <c r="L16" s="14" t="n">
        <f aca="false">Inputs!$B$24*Inputs!$B$25+IF(11=9,Inputs!$B$26,0)</f>
        <v>48000</v>
      </c>
      <c r="M16" s="14" t="n">
        <f aca="false">Inputs!$B$24*Inputs!$B$25+IF(12=9,Inputs!$B$26,0)</f>
        <v>48000</v>
      </c>
      <c r="N16" s="14" t="n">
        <f aca="false">Inputs!$B$24*Inputs!$B$25+IF(13=9,Inputs!$B$26,0)</f>
        <v>48000</v>
      </c>
      <c r="O16" s="14" t="n">
        <f aca="false">Inputs!$B$24*Inputs!$B$25+IF(14=9,Inputs!$B$26,0)</f>
        <v>48000</v>
      </c>
      <c r="P16" s="14" t="n">
        <f aca="false">Inputs!$B$24*Inputs!$B$25+IF(15=9,Inputs!$B$26,0)</f>
        <v>48000</v>
      </c>
      <c r="Q16" s="14" t="n">
        <f aca="false">Inputs!$B$24*Inputs!$B$25+IF(16=9,Inputs!$B$26,0)</f>
        <v>48000</v>
      </c>
      <c r="R16" s="14" t="n">
        <f aca="false">Inputs!$B$24*Inputs!$B$25+IF(17=9,Inputs!$B$26,0)</f>
        <v>48000</v>
      </c>
      <c r="S16" s="14" t="n">
        <f aca="false">Inputs!$B$24*Inputs!$B$25+IF(18=9,Inputs!$B$26,0)</f>
        <v>48000</v>
      </c>
      <c r="T16" s="15" t="n">
        <f aca="false">SUM(B16:S16)</f>
        <v>1164000</v>
      </c>
    </row>
    <row r="17" customFormat="false" ht="15" hidden="false" customHeight="false" outlineLevel="0" collapsed="false">
      <c r="A17" s="5" t="s">
        <v>135</v>
      </c>
      <c r="B17" s="14" t="n">
        <f aca="false">B7*Inputs!$B$28</f>
        <v>12000</v>
      </c>
      <c r="C17" s="14" t="n">
        <f aca="false">C7*Inputs!$B$28</f>
        <v>12000</v>
      </c>
      <c r="D17" s="14" t="n">
        <f aca="false">D7*Inputs!$B$28</f>
        <v>12000</v>
      </c>
      <c r="E17" s="14" t="n">
        <f aca="false">E7*Inputs!$B$28</f>
        <v>12000</v>
      </c>
      <c r="F17" s="14" t="n">
        <f aca="false">F7*Inputs!$B$28</f>
        <v>12000</v>
      </c>
      <c r="G17" s="14" t="n">
        <f aca="false">G7*Inputs!$B$28</f>
        <v>12000</v>
      </c>
      <c r="H17" s="14" t="n">
        <f aca="false">H7*Inputs!$B$28</f>
        <v>12000</v>
      </c>
      <c r="I17" s="14" t="n">
        <f aca="false">I7*Inputs!$B$28</f>
        <v>12000</v>
      </c>
      <c r="J17" s="14" t="n">
        <f aca="false">J7*Inputs!$B$28</f>
        <v>12000</v>
      </c>
      <c r="K17" s="14" t="n">
        <f aca="false">K7*Inputs!$B$28</f>
        <v>12000</v>
      </c>
      <c r="L17" s="14" t="n">
        <f aca="false">L7*Inputs!$B$28</f>
        <v>12000</v>
      </c>
      <c r="M17" s="14" t="n">
        <f aca="false">M7*Inputs!$B$28</f>
        <v>12000</v>
      </c>
      <c r="N17" s="14" t="n">
        <f aca="false">N7*Inputs!$B$28</f>
        <v>12000</v>
      </c>
      <c r="O17" s="14" t="n">
        <f aca="false">O7*Inputs!$B$28</f>
        <v>12000</v>
      </c>
      <c r="P17" s="14" t="n">
        <f aca="false">P7*Inputs!$B$28</f>
        <v>12000</v>
      </c>
      <c r="Q17" s="14" t="n">
        <f aca="false">Q7*Inputs!$B$28</f>
        <v>12000</v>
      </c>
      <c r="R17" s="14" t="n">
        <f aca="false">R7*Inputs!$B$28</f>
        <v>12000</v>
      </c>
      <c r="S17" s="14" t="n">
        <f aca="false">S7*Inputs!$B$28</f>
        <v>16000</v>
      </c>
      <c r="T17" s="15" t="n">
        <f aca="false">SUM(B17:S17)</f>
        <v>220000</v>
      </c>
    </row>
    <row r="18" customFormat="false" ht="15" hidden="false" customHeight="false" outlineLevel="0" collapsed="false">
      <c r="A18" s="5" t="s">
        <v>136</v>
      </c>
      <c r="B18" s="14" t="n">
        <f aca="false">Inputs!$B$32+INT(B5/100000)*Inputs!$B$33</f>
        <v>3000</v>
      </c>
      <c r="C18" s="14" t="n">
        <f aca="false">Inputs!$B$32+INT(C5/100000)*Inputs!$B$33</f>
        <v>3000</v>
      </c>
      <c r="D18" s="14" t="n">
        <f aca="false">Inputs!$B$32+INT(D5/100000)*Inputs!$B$33</f>
        <v>3000</v>
      </c>
      <c r="E18" s="14" t="n">
        <f aca="false">Inputs!$B$32+INT(E5/100000)*Inputs!$B$33</f>
        <v>3000</v>
      </c>
      <c r="F18" s="14" t="n">
        <f aca="false">Inputs!$B$32+INT(F5/100000)*Inputs!$B$33</f>
        <v>3000</v>
      </c>
      <c r="G18" s="14" t="n">
        <f aca="false">Inputs!$B$32+INT(G5/100000)*Inputs!$B$33</f>
        <v>3000</v>
      </c>
      <c r="H18" s="14" t="n">
        <f aca="false">Inputs!$B$32+INT(H5/100000)*Inputs!$B$33</f>
        <v>3000</v>
      </c>
      <c r="I18" s="14" t="n">
        <f aca="false">Inputs!$B$32+INT(I5/100000)*Inputs!$B$33</f>
        <v>3000</v>
      </c>
      <c r="J18" s="14" t="n">
        <f aca="false">Inputs!$B$32+INT(J5/100000)*Inputs!$B$33</f>
        <v>3000</v>
      </c>
      <c r="K18" s="14" t="n">
        <f aca="false">Inputs!$B$32+INT(K5/100000)*Inputs!$B$33</f>
        <v>3000</v>
      </c>
      <c r="L18" s="14" t="n">
        <f aca="false">Inputs!$B$32+INT(L5/100000)*Inputs!$B$33</f>
        <v>3000</v>
      </c>
      <c r="M18" s="14" t="n">
        <f aca="false">Inputs!$B$32+INT(M5/100000)*Inputs!$B$33</f>
        <v>3000</v>
      </c>
      <c r="N18" s="14" t="n">
        <f aca="false">Inputs!$B$32+INT(N5/100000)*Inputs!$B$33</f>
        <v>3000</v>
      </c>
      <c r="O18" s="14" t="n">
        <f aca="false">Inputs!$B$32+INT(O5/100000)*Inputs!$B$33</f>
        <v>3000</v>
      </c>
      <c r="P18" s="14" t="n">
        <f aca="false">Inputs!$B$32+INT(P5/100000)*Inputs!$B$33</f>
        <v>3000</v>
      </c>
      <c r="Q18" s="14" t="n">
        <f aca="false">Inputs!$B$32+INT(Q5/100000)*Inputs!$B$33</f>
        <v>8000</v>
      </c>
      <c r="R18" s="14" t="n">
        <f aca="false">Inputs!$B$32+INT(R5/100000)*Inputs!$B$33</f>
        <v>8000</v>
      </c>
      <c r="S18" s="14" t="n">
        <f aca="false">Inputs!$B$32+INT(S5/100000)*Inputs!$B$33</f>
        <v>8000</v>
      </c>
      <c r="T18" s="15" t="n">
        <f aca="false">SUM(B18:S18)</f>
        <v>69000</v>
      </c>
    </row>
    <row r="19" customFormat="false" ht="15" hidden="false" customHeight="false" outlineLevel="0" collapsed="false">
      <c r="A19" s="5" t="s">
        <v>137</v>
      </c>
      <c r="B19" s="14" t="n">
        <f aca="false">B5*Inputs!$B$34*Inputs!$B$35*Inputs!$B$36/1024*Inputs!$B$37+Inputs!$B$38</f>
        <v>3.515625</v>
      </c>
      <c r="C19" s="14" t="n">
        <f aca="false">C5*Inputs!$B$34*Inputs!$B$35*Inputs!$B$36/1024*Inputs!$B$37+Inputs!$B$38</f>
        <v>5.625</v>
      </c>
      <c r="D19" s="14" t="n">
        <f aca="false">D5*Inputs!$B$34*Inputs!$B$35*Inputs!$B$36/1024*Inputs!$B$37+Inputs!$B$38</f>
        <v>9</v>
      </c>
      <c r="E19" s="14" t="n">
        <f aca="false">E5*Inputs!$B$34*Inputs!$B$35*Inputs!$B$36/1024*Inputs!$B$37+Inputs!$B$38</f>
        <v>14.4</v>
      </c>
      <c r="F19" s="14" t="n">
        <f aca="false">F5*Inputs!$B$34*Inputs!$B$35*Inputs!$B$36/1024*Inputs!$B$37+Inputs!$B$38</f>
        <v>23.04140625</v>
      </c>
      <c r="G19" s="14" t="n">
        <f aca="false">G5*Inputs!$B$34*Inputs!$B$35*Inputs!$B$36/1024*Inputs!$B$37+Inputs!$B$38</f>
        <v>36.86484375</v>
      </c>
      <c r="H19" s="14" t="n">
        <f aca="false">H5*Inputs!$B$34*Inputs!$B$35*Inputs!$B$36/1024*Inputs!$B$37+Inputs!$B$38</f>
        <v>49.7671875</v>
      </c>
      <c r="I19" s="14" t="n">
        <f aca="false">I5*Inputs!$B$34*Inputs!$B$35*Inputs!$B$36/1024*Inputs!$B$37+Inputs!$B$38</f>
        <v>67.18359375</v>
      </c>
      <c r="J19" s="14" t="n">
        <f aca="false">J5*Inputs!$B$34*Inputs!$B$35*Inputs!$B$36/1024*Inputs!$B$37+Inputs!$B$38</f>
        <v>90.69609375</v>
      </c>
      <c r="K19" s="14" t="n">
        <f aca="false">K5*Inputs!$B$34*Inputs!$B$35*Inputs!$B$36/1024*Inputs!$B$37+Inputs!$B$38</f>
        <v>122.4421875</v>
      </c>
      <c r="L19" s="14" t="n">
        <f aca="false">L5*Inputs!$B$34*Inputs!$B$35*Inputs!$B$36/1024*Inputs!$B$37+Inputs!$B$38</f>
        <v>165.29765625</v>
      </c>
      <c r="M19" s="14" t="n">
        <f aca="false">M5*Inputs!$B$34*Inputs!$B$35*Inputs!$B$36/1024*Inputs!$B$37+Inputs!$B$38</f>
        <v>223.15078125</v>
      </c>
      <c r="N19" s="14" t="n">
        <f aca="false">N5*Inputs!$B$34*Inputs!$B$35*Inputs!$B$36/1024*Inputs!$B$37+Inputs!$B$38</f>
        <v>301.25390625</v>
      </c>
      <c r="O19" s="14" t="n">
        <f aca="false">O5*Inputs!$B$34*Inputs!$B$35*Inputs!$B$36/1024*Inputs!$B$37+Inputs!$B$38</f>
        <v>406.69453125</v>
      </c>
      <c r="P19" s="14" t="n">
        <f aca="false">P5*Inputs!$B$34*Inputs!$B$35*Inputs!$B$36/1024*Inputs!$B$37+Inputs!$B$38</f>
        <v>549.03515625</v>
      </c>
      <c r="Q19" s="14" t="n">
        <f aca="false">Q5*Inputs!$B$34*Inputs!$B$35*Inputs!$B$36/1024*Inputs!$B$37+Inputs!$B$38</f>
        <v>741.19921875</v>
      </c>
      <c r="R19" s="14" t="n">
        <f aca="false">R5*Inputs!$B$34*Inputs!$B$35*Inputs!$B$36/1024*Inputs!$B$37+Inputs!$B$38</f>
        <v>1000.6171875</v>
      </c>
      <c r="S19" s="14" t="n">
        <f aca="false">S5*Inputs!$B$34*Inputs!$B$35*Inputs!$B$36/1024*Inputs!$B$37+Inputs!$B$38</f>
        <v>1350.83671875</v>
      </c>
      <c r="T19" s="15" t="n">
        <f aca="false">SUM(B19:S19)</f>
        <v>5160.62109375</v>
      </c>
    </row>
    <row r="20" customFormat="false" ht="15" hidden="false" customHeight="false" outlineLevel="0" collapsed="false">
      <c r="A20" s="5" t="s">
        <v>138</v>
      </c>
      <c r="B20" s="14" t="n">
        <f aca="false">IF(1=1,Inputs!$B$41+Inputs!$B$40,IF(1=13,Inputs!$B$40,0))+Inputs!$B$42+Inputs!$B$43</f>
        <v>24400</v>
      </c>
      <c r="C20" s="14" t="n">
        <f aca="false">IF(2=1,Inputs!$B$41+Inputs!$B$40,IF(2=13,Inputs!$B$40,0))+Inputs!$B$42+Inputs!$B$43</f>
        <v>14000</v>
      </c>
      <c r="D20" s="14" t="n">
        <f aca="false">IF(3=1,Inputs!$B$41+Inputs!$B$40,IF(3=13,Inputs!$B$40,0))+Inputs!$B$42+Inputs!$B$43</f>
        <v>14000</v>
      </c>
      <c r="E20" s="14" t="n">
        <f aca="false">IF(4=1,Inputs!$B$41+Inputs!$B$40,IF(4=13,Inputs!$B$40,0))+Inputs!$B$42+Inputs!$B$43</f>
        <v>14000</v>
      </c>
      <c r="F20" s="14" t="n">
        <f aca="false">IF(5=1,Inputs!$B$41+Inputs!$B$40,IF(5=13,Inputs!$B$40,0))+Inputs!$B$42+Inputs!$B$43</f>
        <v>14000</v>
      </c>
      <c r="G20" s="14" t="n">
        <f aca="false">IF(6=1,Inputs!$B$41+Inputs!$B$40,IF(6=13,Inputs!$B$40,0))+Inputs!$B$42+Inputs!$B$43</f>
        <v>14000</v>
      </c>
      <c r="H20" s="14" t="n">
        <f aca="false">IF(7=1,Inputs!$B$41+Inputs!$B$40,IF(7=13,Inputs!$B$40,0))+Inputs!$B$42+Inputs!$B$43</f>
        <v>14000</v>
      </c>
      <c r="I20" s="14" t="n">
        <f aca="false">IF(8=1,Inputs!$B$41+Inputs!$B$40,IF(8=13,Inputs!$B$40,0))+Inputs!$B$42+Inputs!$B$43</f>
        <v>14000</v>
      </c>
      <c r="J20" s="14" t="n">
        <f aca="false">IF(9=1,Inputs!$B$41+Inputs!$B$40,IF(9=13,Inputs!$B$40,0))+Inputs!$B$42+Inputs!$B$43</f>
        <v>14000</v>
      </c>
      <c r="K20" s="14" t="n">
        <f aca="false">IF(10=1,Inputs!$B$41+Inputs!$B$40,IF(10=13,Inputs!$B$40,0))+Inputs!$B$42+Inputs!$B$43</f>
        <v>14000</v>
      </c>
      <c r="L20" s="14" t="n">
        <f aca="false">IF(11=1,Inputs!$B$41+Inputs!$B$40,IF(11=13,Inputs!$B$40,0))+Inputs!$B$42+Inputs!$B$43</f>
        <v>14000</v>
      </c>
      <c r="M20" s="14" t="n">
        <f aca="false">IF(12=1,Inputs!$B$41+Inputs!$B$40,IF(12=13,Inputs!$B$40,0))+Inputs!$B$42+Inputs!$B$43</f>
        <v>14000</v>
      </c>
      <c r="N20" s="14" t="n">
        <f aca="false">IF(13=1,Inputs!$B$41+Inputs!$B$40,IF(13=13,Inputs!$B$40,0))+Inputs!$B$42+Inputs!$B$43</f>
        <v>22300</v>
      </c>
      <c r="O20" s="14" t="n">
        <f aca="false">IF(14=1,Inputs!$B$41+Inputs!$B$40,IF(14=13,Inputs!$B$40,0))+Inputs!$B$42+Inputs!$B$43</f>
        <v>14000</v>
      </c>
      <c r="P20" s="14" t="n">
        <f aca="false">IF(15=1,Inputs!$B$41+Inputs!$B$40,IF(15=13,Inputs!$B$40,0))+Inputs!$B$42+Inputs!$B$43</f>
        <v>14000</v>
      </c>
      <c r="Q20" s="14" t="n">
        <f aca="false">IF(16=1,Inputs!$B$41+Inputs!$B$40,IF(16=13,Inputs!$B$40,0))+Inputs!$B$42+Inputs!$B$43</f>
        <v>14000</v>
      </c>
      <c r="R20" s="14" t="n">
        <f aca="false">IF(17=1,Inputs!$B$41+Inputs!$B$40,IF(17=13,Inputs!$B$40,0))+Inputs!$B$42+Inputs!$B$43</f>
        <v>14000</v>
      </c>
      <c r="S20" s="14" t="n">
        <f aca="false">IF(18=1,Inputs!$B$41+Inputs!$B$40,IF(18=13,Inputs!$B$40,0))+Inputs!$B$42+Inputs!$B$43</f>
        <v>14000</v>
      </c>
      <c r="T20" s="15" t="n">
        <f aca="false">SUM(B20:S20)</f>
        <v>270700</v>
      </c>
    </row>
    <row r="21" customFormat="false" ht="15" hidden="false" customHeight="false" outlineLevel="0" collapsed="false">
      <c r="A21" s="5" t="s">
        <v>139</v>
      </c>
      <c r="B21" s="14" t="n">
        <f aca="false">IF(1&gt;=Inputs!$B$45,Inputs!$B$44,0)</f>
        <v>0</v>
      </c>
      <c r="C21" s="14" t="n">
        <f aca="false">IF(2&gt;=Inputs!$B$45,Inputs!$B$44,0)</f>
        <v>25000</v>
      </c>
      <c r="D21" s="14" t="n">
        <f aca="false">IF(3&gt;=Inputs!$B$45,Inputs!$B$44,0)</f>
        <v>25000</v>
      </c>
      <c r="E21" s="14" t="n">
        <f aca="false">IF(4&gt;=Inputs!$B$45,Inputs!$B$44,0)</f>
        <v>25000</v>
      </c>
      <c r="F21" s="14" t="n">
        <f aca="false">IF(5&gt;=Inputs!$B$45,Inputs!$B$44,0)</f>
        <v>25000</v>
      </c>
      <c r="G21" s="14" t="n">
        <f aca="false">IF(6&gt;=Inputs!$B$45,Inputs!$B$44,0)</f>
        <v>25000</v>
      </c>
      <c r="H21" s="14" t="n">
        <f aca="false">IF(7&gt;=Inputs!$B$45,Inputs!$B$44,0)</f>
        <v>25000</v>
      </c>
      <c r="I21" s="14" t="n">
        <f aca="false">IF(8&gt;=Inputs!$B$45,Inputs!$B$44,0)</f>
        <v>25000</v>
      </c>
      <c r="J21" s="14" t="n">
        <f aca="false">IF(9&gt;=Inputs!$B$45,Inputs!$B$44,0)</f>
        <v>25000</v>
      </c>
      <c r="K21" s="14" t="n">
        <f aca="false">IF(10&gt;=Inputs!$B$45,Inputs!$B$44,0)</f>
        <v>25000</v>
      </c>
      <c r="L21" s="14" t="n">
        <f aca="false">IF(11&gt;=Inputs!$B$45,Inputs!$B$44,0)</f>
        <v>25000</v>
      </c>
      <c r="M21" s="14" t="n">
        <f aca="false">IF(12&gt;=Inputs!$B$45,Inputs!$B$44,0)</f>
        <v>25000</v>
      </c>
      <c r="N21" s="14" t="n">
        <f aca="false">IF(13&gt;=Inputs!$B$45,Inputs!$B$44,0)</f>
        <v>25000</v>
      </c>
      <c r="O21" s="14" t="n">
        <f aca="false">IF(14&gt;=Inputs!$B$45,Inputs!$B$44,0)</f>
        <v>25000</v>
      </c>
      <c r="P21" s="14" t="n">
        <f aca="false">IF(15&gt;=Inputs!$B$45,Inputs!$B$44,0)</f>
        <v>25000</v>
      </c>
      <c r="Q21" s="14" t="n">
        <f aca="false">IF(16&gt;=Inputs!$B$45,Inputs!$B$44,0)</f>
        <v>25000</v>
      </c>
      <c r="R21" s="14" t="n">
        <f aca="false">IF(17&gt;=Inputs!$B$45,Inputs!$B$44,0)</f>
        <v>25000</v>
      </c>
      <c r="S21" s="14" t="n">
        <f aca="false">IF(18&gt;=Inputs!$B$45,Inputs!$B$44,0)</f>
        <v>25000</v>
      </c>
      <c r="T21" s="15" t="n">
        <f aca="false">SUM(B21:S21)</f>
        <v>425000</v>
      </c>
    </row>
    <row r="22" customFormat="false" ht="15" hidden="false" customHeight="false" outlineLevel="0" collapsed="false">
      <c r="A22" s="5" t="s">
        <v>140</v>
      </c>
      <c r="B22" s="14" t="n">
        <f aca="false">IF(AND(1&gt;=Inputs!$B$50,1&lt;Inputs!$B$50+Inputs!$B$49),Inputs!$B$47*Inputs!$B$48,0)</f>
        <v>0</v>
      </c>
      <c r="C22" s="14" t="n">
        <f aca="false">IF(AND(2&gt;=Inputs!$B$50,2&lt;Inputs!$B$50+Inputs!$B$49),Inputs!$B$47*Inputs!$B$48,0)</f>
        <v>0</v>
      </c>
      <c r="D22" s="14" t="n">
        <f aca="false">IF(AND(3&gt;=Inputs!$B$50,3&lt;Inputs!$B$50+Inputs!$B$49),Inputs!$B$47*Inputs!$B$48,0)</f>
        <v>300000</v>
      </c>
      <c r="E22" s="14" t="n">
        <f aca="false">IF(AND(4&gt;=Inputs!$B$50,4&lt;Inputs!$B$50+Inputs!$B$49),Inputs!$B$47*Inputs!$B$48,0)</f>
        <v>300000</v>
      </c>
      <c r="F22" s="14" t="n">
        <f aca="false">IF(AND(5&gt;=Inputs!$B$50,5&lt;Inputs!$B$50+Inputs!$B$49),Inputs!$B$47*Inputs!$B$48,0)</f>
        <v>300000</v>
      </c>
      <c r="G22" s="14" t="n">
        <f aca="false">IF(AND(6&gt;=Inputs!$B$50,6&lt;Inputs!$B$50+Inputs!$B$49),Inputs!$B$47*Inputs!$B$48,0)</f>
        <v>0</v>
      </c>
      <c r="H22" s="14" t="n">
        <f aca="false">IF(AND(7&gt;=Inputs!$B$50,7&lt;Inputs!$B$50+Inputs!$B$49),Inputs!$B$47*Inputs!$B$48,0)</f>
        <v>0</v>
      </c>
      <c r="I22" s="14" t="n">
        <f aca="false">IF(AND(8&gt;=Inputs!$B$50,8&lt;Inputs!$B$50+Inputs!$B$49),Inputs!$B$47*Inputs!$B$48,0)</f>
        <v>0</v>
      </c>
      <c r="J22" s="14" t="n">
        <f aca="false">IF(AND(9&gt;=Inputs!$B$50,9&lt;Inputs!$B$50+Inputs!$B$49),Inputs!$B$47*Inputs!$B$48,0)</f>
        <v>0</v>
      </c>
      <c r="K22" s="14" t="n">
        <f aca="false">IF(AND(10&gt;=Inputs!$B$50,10&lt;Inputs!$B$50+Inputs!$B$49),Inputs!$B$47*Inputs!$B$48,0)</f>
        <v>0</v>
      </c>
      <c r="L22" s="14" t="n">
        <f aca="false">IF(AND(11&gt;=Inputs!$B$50,11&lt;Inputs!$B$50+Inputs!$B$49),Inputs!$B$47*Inputs!$B$48,0)</f>
        <v>0</v>
      </c>
      <c r="M22" s="14" t="n">
        <f aca="false">IF(AND(12&gt;=Inputs!$B$50,12&lt;Inputs!$B$50+Inputs!$B$49),Inputs!$B$47*Inputs!$B$48,0)</f>
        <v>0</v>
      </c>
      <c r="N22" s="14" t="n">
        <f aca="false">IF(AND(13&gt;=Inputs!$B$50,13&lt;Inputs!$B$50+Inputs!$B$49),Inputs!$B$47*Inputs!$B$48,0)</f>
        <v>0</v>
      </c>
      <c r="O22" s="14" t="n">
        <f aca="false">IF(AND(14&gt;=Inputs!$B$50,14&lt;Inputs!$B$50+Inputs!$B$49),Inputs!$B$47*Inputs!$B$48,0)</f>
        <v>0</v>
      </c>
      <c r="P22" s="14" t="n">
        <f aca="false">IF(AND(15&gt;=Inputs!$B$50,15&lt;Inputs!$B$50+Inputs!$B$49),Inputs!$B$47*Inputs!$B$48,0)</f>
        <v>0</v>
      </c>
      <c r="Q22" s="14" t="n">
        <f aca="false">IF(AND(16&gt;=Inputs!$B$50,16&lt;Inputs!$B$50+Inputs!$B$49),Inputs!$B$47*Inputs!$B$48,0)</f>
        <v>0</v>
      </c>
      <c r="R22" s="14" t="n">
        <f aca="false">IF(AND(17&gt;=Inputs!$B$50,17&lt;Inputs!$B$50+Inputs!$B$49),Inputs!$B$47*Inputs!$B$48,0)</f>
        <v>0</v>
      </c>
      <c r="S22" s="14" t="n">
        <f aca="false">IF(AND(18&gt;=Inputs!$B$50,18&lt;Inputs!$B$50+Inputs!$B$49),Inputs!$B$47*Inputs!$B$48,0)</f>
        <v>0</v>
      </c>
      <c r="T22" s="15" t="n">
        <f aca="false">SUM(B22:S22)</f>
        <v>900000</v>
      </c>
    </row>
    <row r="23" customFormat="false" ht="15" hidden="false" customHeight="false" outlineLevel="0" collapsed="false">
      <c r="A23" s="5" t="s">
        <v>141</v>
      </c>
      <c r="B23" s="14" t="n">
        <f aca="false">IF(1&gt;=Inputs!$B$50,Inputs!$B$51,0)</f>
        <v>0</v>
      </c>
      <c r="C23" s="14" t="n">
        <f aca="false">IF(2&gt;=Inputs!$B$50,Inputs!$B$51,0)</f>
        <v>0</v>
      </c>
      <c r="D23" s="14" t="n">
        <f aca="false">IF(3&gt;=Inputs!$B$50,Inputs!$B$51,0)</f>
        <v>60000</v>
      </c>
      <c r="E23" s="14" t="n">
        <f aca="false">IF(4&gt;=Inputs!$B$50,Inputs!$B$51,0)</f>
        <v>60000</v>
      </c>
      <c r="F23" s="14" t="n">
        <f aca="false">IF(5&gt;=Inputs!$B$50,Inputs!$B$51,0)</f>
        <v>60000</v>
      </c>
      <c r="G23" s="14" t="n">
        <f aca="false">IF(6&gt;=Inputs!$B$50,Inputs!$B$51,0)</f>
        <v>60000</v>
      </c>
      <c r="H23" s="14" t="n">
        <f aca="false">IF(7&gt;=Inputs!$B$50,Inputs!$B$51,0)</f>
        <v>60000</v>
      </c>
      <c r="I23" s="14" t="n">
        <f aca="false">IF(8&gt;=Inputs!$B$50,Inputs!$B$51,0)</f>
        <v>60000</v>
      </c>
      <c r="J23" s="14" t="n">
        <f aca="false">IF(9&gt;=Inputs!$B$50,Inputs!$B$51,0)</f>
        <v>60000</v>
      </c>
      <c r="K23" s="14" t="n">
        <f aca="false">IF(10&gt;=Inputs!$B$50,Inputs!$B$51,0)</f>
        <v>60000</v>
      </c>
      <c r="L23" s="14" t="n">
        <f aca="false">IF(11&gt;=Inputs!$B$50,Inputs!$B$51,0)</f>
        <v>60000</v>
      </c>
      <c r="M23" s="14" t="n">
        <f aca="false">IF(12&gt;=Inputs!$B$50,Inputs!$B$51,0)</f>
        <v>60000</v>
      </c>
      <c r="N23" s="14" t="n">
        <f aca="false">IF(13&gt;=Inputs!$B$50,Inputs!$B$51,0)</f>
        <v>60000</v>
      </c>
      <c r="O23" s="14" t="n">
        <f aca="false">IF(14&gt;=Inputs!$B$50,Inputs!$B$51,0)</f>
        <v>60000</v>
      </c>
      <c r="P23" s="14" t="n">
        <f aca="false">IF(15&gt;=Inputs!$B$50,Inputs!$B$51,0)</f>
        <v>60000</v>
      </c>
      <c r="Q23" s="14" t="n">
        <f aca="false">IF(16&gt;=Inputs!$B$50,Inputs!$B$51,0)</f>
        <v>60000</v>
      </c>
      <c r="R23" s="14" t="n">
        <f aca="false">IF(17&gt;=Inputs!$B$50,Inputs!$B$51,0)</f>
        <v>60000</v>
      </c>
      <c r="S23" s="14" t="n">
        <f aca="false">IF(18&gt;=Inputs!$B$50,Inputs!$B$51,0)</f>
        <v>60000</v>
      </c>
      <c r="T23" s="15" t="n">
        <f aca="false">SUM(B23:S23)</f>
        <v>960000</v>
      </c>
    </row>
    <row r="24" customFormat="false" ht="15" hidden="false" customHeight="false" outlineLevel="0" collapsed="false">
      <c r="A24" s="5" t="s">
        <v>142</v>
      </c>
      <c r="B24" s="14" t="n">
        <f aca="false">IF(1=Inputs!$B$52,Inputs!$B$53,0)</f>
        <v>0</v>
      </c>
      <c r="C24" s="14" t="n">
        <f aca="false">IF(2=Inputs!$B$52,Inputs!$B$53,0)</f>
        <v>0</v>
      </c>
      <c r="D24" s="14" t="n">
        <f aca="false">IF(3=Inputs!$B$52,Inputs!$B$53,0)</f>
        <v>400000</v>
      </c>
      <c r="E24" s="14" t="n">
        <f aca="false">IF(4=Inputs!$B$52,Inputs!$B$53,0)</f>
        <v>0</v>
      </c>
      <c r="F24" s="14" t="n">
        <f aca="false">IF(5=Inputs!$B$52,Inputs!$B$53,0)</f>
        <v>0</v>
      </c>
      <c r="G24" s="14" t="n">
        <f aca="false">IF(6=Inputs!$B$52,Inputs!$B$53,0)</f>
        <v>0</v>
      </c>
      <c r="H24" s="14" t="n">
        <f aca="false">IF(7=Inputs!$B$52,Inputs!$B$53,0)</f>
        <v>0</v>
      </c>
      <c r="I24" s="14" t="n">
        <f aca="false">IF(8=Inputs!$B$52,Inputs!$B$53,0)</f>
        <v>0</v>
      </c>
      <c r="J24" s="14" t="n">
        <f aca="false">IF(9=Inputs!$B$52,Inputs!$B$53,0)</f>
        <v>0</v>
      </c>
      <c r="K24" s="14" t="n">
        <f aca="false">IF(10=Inputs!$B$52,Inputs!$B$53,0)</f>
        <v>0</v>
      </c>
      <c r="L24" s="14" t="n">
        <f aca="false">IF(11=Inputs!$B$52,Inputs!$B$53,0)</f>
        <v>0</v>
      </c>
      <c r="M24" s="14" t="n">
        <f aca="false">IF(12=Inputs!$B$52,Inputs!$B$53,0)</f>
        <v>0</v>
      </c>
      <c r="N24" s="14" t="n">
        <f aca="false">IF(13=Inputs!$B$52,Inputs!$B$53,0)</f>
        <v>0</v>
      </c>
      <c r="O24" s="14" t="n">
        <f aca="false">IF(14=Inputs!$B$52,Inputs!$B$53,0)</f>
        <v>0</v>
      </c>
      <c r="P24" s="14" t="n">
        <f aca="false">IF(15=Inputs!$B$52,Inputs!$B$53,0)</f>
        <v>0</v>
      </c>
      <c r="Q24" s="14" t="n">
        <f aca="false">IF(16=Inputs!$B$52,Inputs!$B$53,0)</f>
        <v>0</v>
      </c>
      <c r="R24" s="14" t="n">
        <f aca="false">IF(17=Inputs!$B$52,Inputs!$B$53,0)</f>
        <v>0</v>
      </c>
      <c r="S24" s="14" t="n">
        <f aca="false">IF(18=Inputs!$B$52,Inputs!$B$53,0)</f>
        <v>0</v>
      </c>
      <c r="T24" s="15" t="n">
        <f aca="false">SUM(B24:S24)</f>
        <v>400000</v>
      </c>
    </row>
    <row r="25" customFormat="false" ht="15" hidden="false" customHeight="false" outlineLevel="0" collapsed="false">
      <c r="A25" s="5" t="s">
        <v>143</v>
      </c>
      <c r="B25" s="14" t="n">
        <f aca="false">IF(1&gt;=Inputs!$B$55,Inputs!$B$54,0)</f>
        <v>0</v>
      </c>
      <c r="C25" s="14" t="n">
        <f aca="false">IF(2&gt;=Inputs!$B$55,Inputs!$B$54,0)</f>
        <v>0</v>
      </c>
      <c r="D25" s="14" t="n">
        <f aca="false">IF(3&gt;=Inputs!$B$55,Inputs!$B$54,0)</f>
        <v>0</v>
      </c>
      <c r="E25" s="14" t="n">
        <f aca="false">IF(4&gt;=Inputs!$B$55,Inputs!$B$54,0)</f>
        <v>0</v>
      </c>
      <c r="F25" s="14" t="n">
        <f aca="false">IF(5&gt;=Inputs!$B$55,Inputs!$B$54,0)</f>
        <v>0</v>
      </c>
      <c r="G25" s="14" t="n">
        <f aca="false">IF(6&gt;=Inputs!$B$55,Inputs!$B$54,0)</f>
        <v>0</v>
      </c>
      <c r="H25" s="14" t="n">
        <f aca="false">IF(7&gt;=Inputs!$B$55,Inputs!$B$54,0)</f>
        <v>150000</v>
      </c>
      <c r="I25" s="14" t="n">
        <f aca="false">IF(8&gt;=Inputs!$B$55,Inputs!$B$54,0)</f>
        <v>150000</v>
      </c>
      <c r="J25" s="14" t="n">
        <f aca="false">IF(9&gt;=Inputs!$B$55,Inputs!$B$54,0)</f>
        <v>150000</v>
      </c>
      <c r="K25" s="14" t="n">
        <f aca="false">IF(10&gt;=Inputs!$B$55,Inputs!$B$54,0)</f>
        <v>150000</v>
      </c>
      <c r="L25" s="14" t="n">
        <f aca="false">IF(11&gt;=Inputs!$B$55,Inputs!$B$54,0)</f>
        <v>150000</v>
      </c>
      <c r="M25" s="14" t="n">
        <f aca="false">IF(12&gt;=Inputs!$B$55,Inputs!$B$54,0)</f>
        <v>150000</v>
      </c>
      <c r="N25" s="14" t="n">
        <f aca="false">IF(13&gt;=Inputs!$B$55,Inputs!$B$54,0)</f>
        <v>150000</v>
      </c>
      <c r="O25" s="14" t="n">
        <f aca="false">IF(14&gt;=Inputs!$B$55,Inputs!$B$54,0)</f>
        <v>150000</v>
      </c>
      <c r="P25" s="14" t="n">
        <f aca="false">IF(15&gt;=Inputs!$B$55,Inputs!$B$54,0)</f>
        <v>150000</v>
      </c>
      <c r="Q25" s="14" t="n">
        <f aca="false">IF(16&gt;=Inputs!$B$55,Inputs!$B$54,0)</f>
        <v>150000</v>
      </c>
      <c r="R25" s="14" t="n">
        <f aca="false">IF(17&gt;=Inputs!$B$55,Inputs!$B$54,0)</f>
        <v>150000</v>
      </c>
      <c r="S25" s="14" t="n">
        <f aca="false">IF(18&gt;=Inputs!$B$55,Inputs!$B$54,0)</f>
        <v>150000</v>
      </c>
      <c r="T25" s="15" t="n">
        <f aca="false">SUM(B25:S25)</f>
        <v>1800000</v>
      </c>
    </row>
    <row r="26" customFormat="false" ht="15" hidden="false" customHeight="false" outlineLevel="0" collapsed="false">
      <c r="A26" s="10" t="s">
        <v>144</v>
      </c>
      <c r="B26" s="15" t="n">
        <f aca="false">SUM(B15:B25)</f>
        <v>87403.515625</v>
      </c>
      <c r="C26" s="15" t="n">
        <f aca="false">SUM(C15:C25)</f>
        <v>102005.625</v>
      </c>
      <c r="D26" s="15" t="n">
        <f aca="false">SUM(D15:D25)</f>
        <v>862009</v>
      </c>
      <c r="E26" s="15" t="n">
        <f aca="false">SUM(E15:E25)</f>
        <v>2212014.4</v>
      </c>
      <c r="F26" s="15" t="n">
        <f aca="false">SUM(F15:F25)</f>
        <v>2212023.04140625</v>
      </c>
      <c r="G26" s="15" t="n">
        <f aca="false">SUM(G15:G25)</f>
        <v>162036.86484375</v>
      </c>
      <c r="H26" s="15" t="n">
        <f aca="false">SUM(H15:H25)</f>
        <v>312049.7671875</v>
      </c>
      <c r="I26" s="15" t="n">
        <f aca="false">SUM(I15:I25)</f>
        <v>312067.18359375</v>
      </c>
      <c r="J26" s="15" t="n">
        <f aca="false">SUM(J15:J25)</f>
        <v>612090.69609375</v>
      </c>
      <c r="K26" s="15" t="n">
        <f aca="false">SUM(K15:K25)</f>
        <v>312122.4421875</v>
      </c>
      <c r="L26" s="15" t="n">
        <f aca="false">SUM(L15:L25)</f>
        <v>312165.29765625</v>
      </c>
      <c r="M26" s="15" t="n">
        <f aca="false">SUM(M15:M25)</f>
        <v>312223.15078125</v>
      </c>
      <c r="N26" s="15" t="n">
        <f aca="false">SUM(N15:N25)</f>
        <v>320601.25390625</v>
      </c>
      <c r="O26" s="15" t="n">
        <f aca="false">SUM(O15:O25)</f>
        <v>312406.69453125</v>
      </c>
      <c r="P26" s="15" t="n">
        <f aca="false">SUM(P15:P25)</f>
        <v>312549.03515625</v>
      </c>
      <c r="Q26" s="15" t="n">
        <f aca="false">SUM(Q15:Q25)</f>
        <v>317741.19921875</v>
      </c>
      <c r="R26" s="15" t="n">
        <f aca="false">SUM(R15:R25)</f>
        <v>318000.6171875</v>
      </c>
      <c r="S26" s="15" t="n">
        <f aca="false">SUM(S15:S25)</f>
        <v>322350.83671875</v>
      </c>
      <c r="T26" s="15" t="n">
        <f aca="false">SUM(B26:S26)</f>
        <v>9713860.62109375</v>
      </c>
    </row>
    <row r="27" customFormat="false" ht="15" hidden="false" customHeight="false" outlineLevel="0" collapsed="false">
      <c r="A27" s="4" t="s">
        <v>145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5" hidden="false" customHeight="false" outlineLevel="0" collapsed="false">
      <c r="A28" s="10" t="s">
        <v>146</v>
      </c>
      <c r="B28" s="15" t="n">
        <f aca="false">B13-B26</f>
        <v>-85669.900625</v>
      </c>
      <c r="C28" s="15" t="n">
        <f aca="false">C13-C26</f>
        <v>-99338.525</v>
      </c>
      <c r="D28" s="15" t="n">
        <f aca="false">D13-D26</f>
        <v>-857741.64</v>
      </c>
      <c r="E28" s="15" t="n">
        <f aca="false">E13-E26</f>
        <v>-2205213.295</v>
      </c>
      <c r="F28" s="15" t="n">
        <f aca="false">F13-F26</f>
        <v>-2201087.93140625</v>
      </c>
      <c r="G28" s="15" t="n">
        <f aca="false">G13-G26</f>
        <v>-137067.35984375</v>
      </c>
      <c r="H28" s="15" t="n">
        <f aca="false">H13-H26</f>
        <v>-273445.9321875</v>
      </c>
      <c r="I28" s="15" t="n">
        <f aca="false">I13-I26</f>
        <v>-257695.33859375</v>
      </c>
      <c r="J28" s="15" t="n">
        <f aca="false">J13-J26</f>
        <v>-539150.38609375</v>
      </c>
      <c r="K28" s="15" t="n">
        <f aca="false">K13-K26</f>
        <v>-216613.0171875</v>
      </c>
      <c r="L28" s="15" t="n">
        <f aca="false">L13-L26</f>
        <v>-188752.55765625</v>
      </c>
      <c r="M28" s="15" t="n">
        <f aca="false">M13-M26</f>
        <v>-151472.63578125</v>
      </c>
      <c r="N28" s="15" t="n">
        <f aca="false">N13-N26</f>
        <v>-115278.04890625</v>
      </c>
      <c r="O28" s="15" t="n">
        <f aca="false">O13-O26</f>
        <v>-49575.36453125</v>
      </c>
      <c r="P28" s="15" t="n">
        <f aca="false">P13-P26</f>
        <v>25259.92484375</v>
      </c>
      <c r="Q28" s="15" t="n">
        <f aca="false">Q13-Q26</f>
        <v>118649.22578125</v>
      </c>
      <c r="R28" s="15" t="n">
        <f aca="false">R13-R26</f>
        <v>248976.4728125</v>
      </c>
      <c r="S28" s="15" t="n">
        <f aca="false">S13-S26</f>
        <v>418153.22828125</v>
      </c>
      <c r="T28" s="15" t="n">
        <f aca="false">SUM(B28:S28)</f>
        <v>-6567063.08109375</v>
      </c>
    </row>
    <row r="29" customFormat="false" ht="15" hidden="false" customHeight="false" outlineLevel="0" collapsed="false">
      <c r="A29" s="5" t="s">
        <v>147</v>
      </c>
      <c r="B29" s="14" t="n">
        <f aca="false">IF(1=1,Inputs!$B$5,0)+IF(1=Inputs!$B$6,Inputs!$B$7,0)+IF(1=Inputs!$B$8,Inputs!$B$9,0)</f>
        <v>4000000</v>
      </c>
      <c r="C29" s="14" t="n">
        <f aca="false">IF(2=1,Inputs!$B$5,0)+IF(2=Inputs!$B$6,Inputs!$B$7,0)+IF(2=Inputs!$B$8,Inputs!$B$9,0)</f>
        <v>0</v>
      </c>
      <c r="D29" s="14" t="n">
        <f aca="false">IF(3=1,Inputs!$B$5,0)+IF(3=Inputs!$B$6,Inputs!$B$7,0)+IF(3=Inputs!$B$8,Inputs!$B$9,0)</f>
        <v>0</v>
      </c>
      <c r="E29" s="14" t="n">
        <f aca="false">IF(4=1,Inputs!$B$5,0)+IF(4=Inputs!$B$6,Inputs!$B$7,0)+IF(4=Inputs!$B$8,Inputs!$B$9,0)</f>
        <v>3000000</v>
      </c>
      <c r="F29" s="14" t="n">
        <f aca="false">IF(5=1,Inputs!$B$5,0)+IF(5=Inputs!$B$6,Inputs!$B$7,0)+IF(5=Inputs!$B$8,Inputs!$B$9,0)</f>
        <v>0</v>
      </c>
      <c r="G29" s="14" t="n">
        <f aca="false">IF(6=1,Inputs!$B$5,0)+IF(6=Inputs!$B$6,Inputs!$B$7,0)+IF(6=Inputs!$B$8,Inputs!$B$9,0)</f>
        <v>0</v>
      </c>
      <c r="H29" s="14" t="n">
        <f aca="false">IF(7=1,Inputs!$B$5,0)+IF(7=Inputs!$B$6,Inputs!$B$7,0)+IF(7=Inputs!$B$8,Inputs!$B$9,0)</f>
        <v>0</v>
      </c>
      <c r="I29" s="14" t="n">
        <f aca="false">IF(8=1,Inputs!$B$5,0)+IF(8=Inputs!$B$6,Inputs!$B$7,0)+IF(8=Inputs!$B$8,Inputs!$B$9,0)</f>
        <v>0</v>
      </c>
      <c r="J29" s="14" t="n">
        <f aca="false">IF(9=1,Inputs!$B$5,0)+IF(9=Inputs!$B$6,Inputs!$B$7,0)+IF(9=Inputs!$B$8,Inputs!$B$9,0)</f>
        <v>0</v>
      </c>
      <c r="K29" s="14" t="n">
        <f aca="false">IF(10=1,Inputs!$B$5,0)+IF(10=Inputs!$B$6,Inputs!$B$7,0)+IF(10=Inputs!$B$8,Inputs!$B$9,0)</f>
        <v>0</v>
      </c>
      <c r="L29" s="14" t="n">
        <f aca="false">IF(11=1,Inputs!$B$5,0)+IF(11=Inputs!$B$6,Inputs!$B$7,0)+IF(11=Inputs!$B$8,Inputs!$B$9,0)</f>
        <v>0</v>
      </c>
      <c r="M29" s="14" t="n">
        <f aca="false">IF(12=1,Inputs!$B$5,0)+IF(12=Inputs!$B$6,Inputs!$B$7,0)+IF(12=Inputs!$B$8,Inputs!$B$9,0)</f>
        <v>3000000</v>
      </c>
      <c r="N29" s="14" t="n">
        <f aca="false">IF(13=1,Inputs!$B$5,0)+IF(13=Inputs!$B$6,Inputs!$B$7,0)+IF(13=Inputs!$B$8,Inputs!$B$9,0)</f>
        <v>0</v>
      </c>
      <c r="O29" s="14" t="n">
        <f aca="false">IF(14=1,Inputs!$B$5,0)+IF(14=Inputs!$B$6,Inputs!$B$7,0)+IF(14=Inputs!$B$8,Inputs!$B$9,0)</f>
        <v>0</v>
      </c>
      <c r="P29" s="14" t="n">
        <f aca="false">IF(15=1,Inputs!$B$5,0)+IF(15=Inputs!$B$6,Inputs!$B$7,0)+IF(15=Inputs!$B$8,Inputs!$B$9,0)</f>
        <v>0</v>
      </c>
      <c r="Q29" s="14" t="n">
        <f aca="false">IF(16=1,Inputs!$B$5,0)+IF(16=Inputs!$B$6,Inputs!$B$7,0)+IF(16=Inputs!$B$8,Inputs!$B$9,0)</f>
        <v>0</v>
      </c>
      <c r="R29" s="14" t="n">
        <f aca="false">IF(17=1,Inputs!$B$5,0)+IF(17=Inputs!$B$6,Inputs!$B$7,0)+IF(17=Inputs!$B$8,Inputs!$B$9,0)</f>
        <v>0</v>
      </c>
      <c r="S29" s="14" t="n">
        <f aca="false">IF(18=1,Inputs!$B$5,0)+IF(18=Inputs!$B$6,Inputs!$B$7,0)+IF(18=Inputs!$B$8,Inputs!$B$9,0)</f>
        <v>0</v>
      </c>
      <c r="T29" s="15" t="n">
        <f aca="false">SUM(B29:S29)</f>
        <v>10000000</v>
      </c>
    </row>
    <row r="30" customFormat="false" ht="15" hidden="false" customHeight="false" outlineLevel="0" collapsed="false">
      <c r="A30" s="5" t="s">
        <v>148</v>
      </c>
      <c r="B30" s="14" t="n">
        <f aca="false">IF(1=Inputs!$B$11,Inputs!$B$10*Inputs!$B$12,0)+IF(1=Inputs!$B$14,Inputs!$B$13*Inputs!$B$15,0)</f>
        <v>0</v>
      </c>
      <c r="C30" s="14" t="n">
        <f aca="false">IF(2=Inputs!$B$11,Inputs!$B$10*Inputs!$B$12,0)+IF(2=Inputs!$B$14,Inputs!$B$13*Inputs!$B$15,0)</f>
        <v>0</v>
      </c>
      <c r="D30" s="14" t="n">
        <f aca="false">IF(3=Inputs!$B$11,Inputs!$B$10*Inputs!$B$12,0)+IF(3=Inputs!$B$14,Inputs!$B$13*Inputs!$B$15,0)</f>
        <v>0</v>
      </c>
      <c r="E30" s="14" t="n">
        <f aca="false">IF(4=Inputs!$B$11,Inputs!$B$10*Inputs!$B$12,0)+IF(4=Inputs!$B$14,Inputs!$B$13*Inputs!$B$15,0)</f>
        <v>0</v>
      </c>
      <c r="F30" s="14" t="n">
        <f aca="false">IF(5=Inputs!$B$11,Inputs!$B$10*Inputs!$B$12,0)+IF(5=Inputs!$B$14,Inputs!$B$13*Inputs!$B$15,0)</f>
        <v>0</v>
      </c>
      <c r="G30" s="14" t="n">
        <f aca="false">IF(6=Inputs!$B$11,Inputs!$B$10*Inputs!$B$12,0)+IF(6=Inputs!$B$14,Inputs!$B$13*Inputs!$B$15,0)</f>
        <v>0</v>
      </c>
      <c r="H30" s="14" t="n">
        <f aca="false">IF(7=Inputs!$B$11,Inputs!$B$10*Inputs!$B$12,0)+IF(7=Inputs!$B$14,Inputs!$B$13*Inputs!$B$15,0)</f>
        <v>1050000</v>
      </c>
      <c r="I30" s="14" t="n">
        <f aca="false">IF(8=Inputs!$B$11,Inputs!$B$10*Inputs!$B$12,0)+IF(8=Inputs!$B$14,Inputs!$B$13*Inputs!$B$15,0)</f>
        <v>1000000</v>
      </c>
      <c r="J30" s="14" t="n">
        <f aca="false">IF(9=Inputs!$B$11,Inputs!$B$10*Inputs!$B$12,0)+IF(9=Inputs!$B$14,Inputs!$B$13*Inputs!$B$15,0)</f>
        <v>0</v>
      </c>
      <c r="K30" s="14" t="n">
        <f aca="false">IF(10=Inputs!$B$11,Inputs!$B$10*Inputs!$B$12,0)+IF(10=Inputs!$B$14,Inputs!$B$13*Inputs!$B$15,0)</f>
        <v>0</v>
      </c>
      <c r="L30" s="14" t="n">
        <f aca="false">IF(11=Inputs!$B$11,Inputs!$B$10*Inputs!$B$12,0)+IF(11=Inputs!$B$14,Inputs!$B$13*Inputs!$B$15,0)</f>
        <v>0</v>
      </c>
      <c r="M30" s="14" t="n">
        <f aca="false">IF(12=Inputs!$B$11,Inputs!$B$10*Inputs!$B$12,0)+IF(12=Inputs!$B$14,Inputs!$B$13*Inputs!$B$15,0)</f>
        <v>0</v>
      </c>
      <c r="N30" s="14" t="n">
        <f aca="false">IF(13=Inputs!$B$11,Inputs!$B$10*Inputs!$B$12,0)+IF(13=Inputs!$B$14,Inputs!$B$13*Inputs!$B$15,0)</f>
        <v>0</v>
      </c>
      <c r="O30" s="14" t="n">
        <f aca="false">IF(14=Inputs!$B$11,Inputs!$B$10*Inputs!$B$12,0)+IF(14=Inputs!$B$14,Inputs!$B$13*Inputs!$B$15,0)</f>
        <v>0</v>
      </c>
      <c r="P30" s="14" t="n">
        <f aca="false">IF(15=Inputs!$B$11,Inputs!$B$10*Inputs!$B$12,0)+IF(15=Inputs!$B$14,Inputs!$B$13*Inputs!$B$15,0)</f>
        <v>0</v>
      </c>
      <c r="Q30" s="14" t="n">
        <f aca="false">IF(16=Inputs!$B$11,Inputs!$B$10*Inputs!$B$12,0)+IF(16=Inputs!$B$14,Inputs!$B$13*Inputs!$B$15,0)</f>
        <v>0</v>
      </c>
      <c r="R30" s="14" t="n">
        <f aca="false">IF(17=Inputs!$B$11,Inputs!$B$10*Inputs!$B$12,0)+IF(17=Inputs!$B$14,Inputs!$B$13*Inputs!$B$15,0)</f>
        <v>0</v>
      </c>
      <c r="S30" s="14" t="n">
        <f aca="false">IF(18=Inputs!$B$11,Inputs!$B$10*Inputs!$B$12,0)+IF(18=Inputs!$B$14,Inputs!$B$13*Inputs!$B$15,0)</f>
        <v>0</v>
      </c>
      <c r="T30" s="15" t="n">
        <f aca="false">SUM(B30:S30)</f>
        <v>2050000</v>
      </c>
    </row>
    <row r="31" customFormat="false" ht="15" hidden="false" customHeight="false" outlineLevel="0" collapsed="false">
      <c r="A31" s="5" t="s">
        <v>149</v>
      </c>
      <c r="B31" s="14" t="n">
        <f aca="false">IF(1=Inputs!$B$17,Inputs!$B$16*Inputs!$B$18,0)</f>
        <v>0</v>
      </c>
      <c r="C31" s="14" t="n">
        <f aca="false">IF(2=Inputs!$B$17,Inputs!$B$16*Inputs!$B$18,0)</f>
        <v>0</v>
      </c>
      <c r="D31" s="14" t="n">
        <f aca="false">IF(3=Inputs!$B$17,Inputs!$B$16*Inputs!$B$18,0)</f>
        <v>0</v>
      </c>
      <c r="E31" s="14" t="n">
        <f aca="false">IF(4=Inputs!$B$17,Inputs!$B$16*Inputs!$B$18,0)</f>
        <v>0</v>
      </c>
      <c r="F31" s="14" t="n">
        <f aca="false">IF(5=Inputs!$B$17,Inputs!$B$16*Inputs!$B$18,0)</f>
        <v>0</v>
      </c>
      <c r="G31" s="14" t="n">
        <f aca="false">IF(6=Inputs!$B$17,Inputs!$B$16*Inputs!$B$18,0)</f>
        <v>0</v>
      </c>
      <c r="H31" s="14" t="n">
        <f aca="false">IF(7=Inputs!$B$17,Inputs!$B$16*Inputs!$B$18,0)</f>
        <v>0</v>
      </c>
      <c r="I31" s="14" t="n">
        <f aca="false">IF(8=Inputs!$B$17,Inputs!$B$16*Inputs!$B$18,0)</f>
        <v>0</v>
      </c>
      <c r="J31" s="14" t="n">
        <f aca="false">IF(9=Inputs!$B$17,Inputs!$B$16*Inputs!$B$18,0)</f>
        <v>0</v>
      </c>
      <c r="K31" s="14" t="n">
        <f aca="false">IF(10=Inputs!$B$17,Inputs!$B$16*Inputs!$B$18,0)</f>
        <v>4800000</v>
      </c>
      <c r="L31" s="14" t="n">
        <f aca="false">IF(11=Inputs!$B$17,Inputs!$B$16*Inputs!$B$18,0)</f>
        <v>0</v>
      </c>
      <c r="M31" s="14" t="n">
        <f aca="false">IF(12=Inputs!$B$17,Inputs!$B$16*Inputs!$B$18,0)</f>
        <v>0</v>
      </c>
      <c r="N31" s="14" t="n">
        <f aca="false">IF(13=Inputs!$B$17,Inputs!$B$16*Inputs!$B$18,0)</f>
        <v>0</v>
      </c>
      <c r="O31" s="14" t="n">
        <f aca="false">IF(14=Inputs!$B$17,Inputs!$B$16*Inputs!$B$18,0)</f>
        <v>0</v>
      </c>
      <c r="P31" s="14" t="n">
        <f aca="false">IF(15=Inputs!$B$17,Inputs!$B$16*Inputs!$B$18,0)</f>
        <v>0</v>
      </c>
      <c r="Q31" s="14" t="n">
        <f aca="false">IF(16=Inputs!$B$17,Inputs!$B$16*Inputs!$B$18,0)</f>
        <v>0</v>
      </c>
      <c r="R31" s="14" t="n">
        <f aca="false">IF(17=Inputs!$B$17,Inputs!$B$16*Inputs!$B$18,0)</f>
        <v>0</v>
      </c>
      <c r="S31" s="14" t="n">
        <f aca="false">IF(18=Inputs!$B$17,Inputs!$B$16*Inputs!$B$18,0)</f>
        <v>0</v>
      </c>
      <c r="T31" s="15" t="n">
        <f aca="false">SUM(B31:S31)</f>
        <v>4800000</v>
      </c>
    </row>
    <row r="32" customFormat="false" ht="15" hidden="false" customHeight="false" outlineLevel="0" collapsed="false">
      <c r="A32" s="10" t="s">
        <v>150</v>
      </c>
      <c r="B32" s="15" t="n">
        <f aca="false">B29+B30+B31+B28</f>
        <v>3914330.099375</v>
      </c>
      <c r="C32" s="15" t="n">
        <f aca="false">B32+C29+C30+C31+C28</f>
        <v>3814991.574375</v>
      </c>
      <c r="D32" s="15" t="n">
        <f aca="false">C32+D29+D30+D31+D28</f>
        <v>2957249.934375</v>
      </c>
      <c r="E32" s="15" t="n">
        <f aca="false">D32+E29+E30+E31+E28</f>
        <v>3752036.639375</v>
      </c>
      <c r="F32" s="15" t="n">
        <f aca="false">E32+F29+F30+F31+F28</f>
        <v>1550948.70796875</v>
      </c>
      <c r="G32" s="15" t="n">
        <f aca="false">F32+G29+G30+G31+G28</f>
        <v>1413881.348125</v>
      </c>
      <c r="H32" s="15" t="n">
        <f aca="false">G32+H29+H30+H31+H28</f>
        <v>2190435.4159375</v>
      </c>
      <c r="I32" s="15" t="n">
        <f aca="false">H32+I29+I30+I31+I28</f>
        <v>2932740.07734375</v>
      </c>
      <c r="J32" s="15" t="n">
        <f aca="false">I32+J29+J30+J31+J28</f>
        <v>2393589.69125</v>
      </c>
      <c r="K32" s="15" t="n">
        <f aca="false">J32+K29+K30+K31+K28</f>
        <v>6976976.6740625</v>
      </c>
      <c r="L32" s="15" t="n">
        <f aca="false">K32+L29+L30+L31+L28</f>
        <v>6788224.11640625</v>
      </c>
      <c r="M32" s="15" t="n">
        <f aca="false">L32+M29+M30+M31+M28</f>
        <v>9636751.480625</v>
      </c>
      <c r="N32" s="15" t="n">
        <f aca="false">M32+N29+N30+N31+N28</f>
        <v>9521473.43171875</v>
      </c>
      <c r="O32" s="15" t="n">
        <f aca="false">N32+O29+O30+O31+O28</f>
        <v>9471898.0671875</v>
      </c>
      <c r="P32" s="15" t="n">
        <f aca="false">O32+P29+P30+P31+P28</f>
        <v>9497157.99203125</v>
      </c>
      <c r="Q32" s="15" t="n">
        <f aca="false">P32+Q29+Q30+Q31+Q28</f>
        <v>9615807.2178125</v>
      </c>
      <c r="R32" s="15" t="n">
        <f aca="false">Q32+R29+R30+R31+R28</f>
        <v>9864783.690625</v>
      </c>
      <c r="S32" s="15" t="n">
        <f aca="false">R32+S29+S30+S31+S28</f>
        <v>10282936.9189063</v>
      </c>
      <c r="T32" s="2"/>
    </row>
    <row r="33" customFormat="false" ht="15" hidden="false" customHeight="false" outlineLevel="0" collapsed="false">
      <c r="A33" s="5" t="s">
        <v>151</v>
      </c>
      <c r="B33" s="14" t="n">
        <f aca="false">B29+B28</f>
        <v>3914330.099375</v>
      </c>
      <c r="C33" s="14" t="n">
        <f aca="false">B33+C29+C28</f>
        <v>3814991.574375</v>
      </c>
      <c r="D33" s="14" t="n">
        <f aca="false">C33+D29+D28</f>
        <v>2957249.934375</v>
      </c>
      <c r="E33" s="14" t="n">
        <f aca="false">D33+E29+E28</f>
        <v>3752036.639375</v>
      </c>
      <c r="F33" s="14" t="n">
        <f aca="false">E33+F29+F28</f>
        <v>1550948.70796875</v>
      </c>
      <c r="G33" s="14" t="n">
        <f aca="false">F33+G29+G28</f>
        <v>1413881.348125</v>
      </c>
      <c r="H33" s="14" t="n">
        <f aca="false">G33+H29+H28</f>
        <v>1140435.4159375</v>
      </c>
      <c r="I33" s="14" t="n">
        <f aca="false">H33+I29+I28</f>
        <v>882740.07734375</v>
      </c>
      <c r="J33" s="14" t="n">
        <f aca="false">I33+J29+J28</f>
        <v>343589.69125</v>
      </c>
      <c r="K33" s="14" t="n">
        <f aca="false">J33+K29+K28</f>
        <v>126976.6740625</v>
      </c>
      <c r="L33" s="14" t="n">
        <f aca="false">K33+L29+L28</f>
        <v>-61775.8835937499</v>
      </c>
      <c r="M33" s="14" t="n">
        <f aca="false">L33+M29+M28</f>
        <v>2786751.480625</v>
      </c>
      <c r="N33" s="14" t="n">
        <f aca="false">M33+N29+N28</f>
        <v>2671473.43171875</v>
      </c>
      <c r="O33" s="14" t="n">
        <f aca="false">N33+O29+O28</f>
        <v>2621898.0671875</v>
      </c>
      <c r="P33" s="14" t="n">
        <f aca="false">O33+P29+P28</f>
        <v>2647157.99203125</v>
      </c>
      <c r="Q33" s="14" t="n">
        <f aca="false">P33+Q29+Q28</f>
        <v>2765807.2178125</v>
      </c>
      <c r="R33" s="14" t="n">
        <f aca="false">Q33+R29+R28</f>
        <v>3014783.690625</v>
      </c>
      <c r="S33" s="14" t="n">
        <f aca="false">R33+S29+S28</f>
        <v>3432936.91890625</v>
      </c>
      <c r="T3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152</v>
      </c>
      <c r="B1" s="2"/>
      <c r="C1" s="2"/>
    </row>
    <row r="2" customFormat="false" ht="15" hidden="false" customHeight="false" outlineLevel="0" collapsed="false">
      <c r="A2" s="2"/>
      <c r="B2" s="2"/>
      <c r="C2" s="2"/>
    </row>
    <row r="3" customFormat="false" ht="15" hidden="false" customHeight="false" outlineLevel="0" collapsed="false">
      <c r="A3" s="10" t="s">
        <v>153</v>
      </c>
      <c r="B3" s="2"/>
      <c r="C3" s="2"/>
    </row>
    <row r="4" customFormat="false" ht="15" hidden="false" customHeight="false" outlineLevel="0" collapsed="false">
      <c r="A4" s="5" t="s">
        <v>154</v>
      </c>
      <c r="B4" s="16" t="n">
        <f aca="false">'Monthly Plan'!T15</f>
        <v>3500000</v>
      </c>
      <c r="C4" s="2"/>
    </row>
    <row r="5" customFormat="false" ht="15" hidden="false" customHeight="false" outlineLevel="0" collapsed="false">
      <c r="A5" s="5" t="s">
        <v>155</v>
      </c>
      <c r="B5" s="16" t="n">
        <f aca="false">'Monthly Plan'!T16</f>
        <v>1164000</v>
      </c>
      <c r="C5" s="2"/>
    </row>
    <row r="6" customFormat="false" ht="15" hidden="false" customHeight="false" outlineLevel="0" collapsed="false">
      <c r="A6" s="5" t="s">
        <v>156</v>
      </c>
      <c r="B6" s="16" t="n">
        <f aca="false">'Monthly Plan'!T17+'Monthly Plan'!T18+'Monthly Plan'!T19</f>
        <v>294160.62109375</v>
      </c>
      <c r="C6" s="2"/>
    </row>
    <row r="7" customFormat="false" ht="15" hidden="false" customHeight="false" outlineLevel="0" collapsed="false">
      <c r="A7" s="5" t="s">
        <v>157</v>
      </c>
      <c r="B7" s="16" t="n">
        <f aca="false">'Monthly Plan'!T20+'Monthly Plan'!T21</f>
        <v>695700</v>
      </c>
      <c r="C7" s="2"/>
    </row>
    <row r="8" customFormat="false" ht="15" hidden="false" customHeight="false" outlineLevel="0" collapsed="false">
      <c r="A8" s="5" t="s">
        <v>158</v>
      </c>
      <c r="B8" s="16" t="n">
        <f aca="false">'Monthly Plan'!T22+'Monthly Plan'!T23+'Monthly Plan'!T24+'Monthly Plan'!T25</f>
        <v>4060000</v>
      </c>
      <c r="C8" s="2"/>
    </row>
    <row r="9" customFormat="false" ht="15" hidden="false" customHeight="false" outlineLevel="0" collapsed="false">
      <c r="A9" s="5" t="s">
        <v>159</v>
      </c>
      <c r="B9" s="16" t="n">
        <f aca="false">Inputs!$B$68</f>
        <v>1000000</v>
      </c>
      <c r="C9" s="2"/>
    </row>
    <row r="10" customFormat="false" ht="15" hidden="false" customHeight="false" outlineLevel="0" collapsed="false">
      <c r="A10" s="10" t="s">
        <v>160</v>
      </c>
      <c r="B10" s="15" t="n">
        <f aca="false">SUM(B4:B9)</f>
        <v>10713860.6210938</v>
      </c>
      <c r="C10" s="2"/>
    </row>
    <row r="11" customFormat="false" ht="15" hidden="false" customHeight="false" outlineLevel="0" collapsed="false">
      <c r="A11" s="2"/>
      <c r="B11" s="2"/>
      <c r="C11" s="2"/>
    </row>
    <row r="12" customFormat="false" ht="15" hidden="false" customHeight="false" outlineLevel="0" collapsed="false">
      <c r="A12" s="10" t="s">
        <v>161</v>
      </c>
      <c r="B12" s="2"/>
      <c r="C12" s="2"/>
    </row>
    <row r="13" customFormat="false" ht="15" hidden="false" customHeight="false" outlineLevel="0" collapsed="false">
      <c r="A13" s="5" t="s">
        <v>162</v>
      </c>
      <c r="B13" s="16" t="n">
        <f aca="false">'Monthly Plan'!T29</f>
        <v>10000000</v>
      </c>
      <c r="C13" s="2"/>
    </row>
    <row r="14" customFormat="false" ht="15" hidden="false" customHeight="false" outlineLevel="0" collapsed="false">
      <c r="A14" s="5" t="s">
        <v>163</v>
      </c>
      <c r="B14" s="16" t="n">
        <f aca="false">'Monthly Plan'!T30</f>
        <v>2050000</v>
      </c>
      <c r="C14" s="2"/>
    </row>
    <row r="15" customFormat="false" ht="15" hidden="false" customHeight="false" outlineLevel="0" collapsed="false">
      <c r="A15" s="5" t="s">
        <v>164</v>
      </c>
      <c r="B15" s="16" t="n">
        <f aca="false">'Monthly Plan'!T31</f>
        <v>4800000</v>
      </c>
      <c r="C15" s="2"/>
    </row>
    <row r="16" customFormat="false" ht="15" hidden="false" customHeight="false" outlineLevel="0" collapsed="false">
      <c r="A16" s="5" t="s">
        <v>165</v>
      </c>
      <c r="B16" s="16" t="n">
        <f aca="false">'Monthly Plan'!T13</f>
        <v>3146797.54</v>
      </c>
      <c r="C16" s="2"/>
    </row>
    <row r="17" customFormat="false" ht="15" hidden="false" customHeight="false" outlineLevel="0" collapsed="false">
      <c r="A17" s="10" t="s">
        <v>166</v>
      </c>
      <c r="B17" s="15" t="n">
        <f aca="false">SUM(B13:B16)</f>
        <v>19996797.54</v>
      </c>
      <c r="C17" s="2"/>
    </row>
    <row r="18" customFormat="false" ht="15" hidden="false" customHeight="false" outlineLevel="0" collapsed="false">
      <c r="A18" s="2"/>
      <c r="B18" s="2"/>
      <c r="C18" s="2"/>
    </row>
    <row r="19" customFormat="false" ht="15" hidden="false" customHeight="false" outlineLevel="0" collapsed="false">
      <c r="A19" s="10" t="s">
        <v>167</v>
      </c>
      <c r="B19" s="2"/>
      <c r="C19" s="2"/>
    </row>
    <row r="20" customFormat="false" ht="15" hidden="false" customHeight="false" outlineLevel="0" collapsed="false">
      <c r="A20" s="5" t="s">
        <v>168</v>
      </c>
      <c r="B20" s="16" t="n">
        <f aca="false">MIN('Monthly Plan'!B32:S32)</f>
        <v>1413881.348125</v>
      </c>
      <c r="C20" s="17" t="s">
        <v>169</v>
      </c>
    </row>
    <row r="21" customFormat="false" ht="15" hidden="false" customHeight="false" outlineLevel="0" collapsed="false">
      <c r="A21" s="5" t="s">
        <v>170</v>
      </c>
      <c r="B21" s="18" t="n">
        <f aca="false">IFERROR(MATCH(TRUE(),INDEX('Monthly Plan'!B32:S32&lt;0,0),0),0)</f>
        <v>0</v>
      </c>
      <c r="C21" s="17"/>
    </row>
    <row r="22" customFormat="false" ht="15" hidden="false" customHeight="false" outlineLevel="0" collapsed="false">
      <c r="A22" s="5" t="s">
        <v>171</v>
      </c>
      <c r="B22" s="18" t="n">
        <f aca="false">IFERROR(MATCH(TRUE(),INDEX('Monthly Plan'!B33:S33&lt;0,0),0),0)</f>
        <v>11</v>
      </c>
      <c r="C22" s="17" t="s">
        <v>172</v>
      </c>
    </row>
    <row r="23" customFormat="false" ht="15" hidden="false" customHeight="false" outlineLevel="0" collapsed="false">
      <c r="A23" s="5" t="s">
        <v>173</v>
      </c>
      <c r="B23" s="16" t="n">
        <f aca="false">'Monthly Plan'!S26</f>
        <v>322350.83671875</v>
      </c>
      <c r="C23" s="17"/>
    </row>
    <row r="24" customFormat="false" ht="15" hidden="false" customHeight="false" outlineLevel="0" collapsed="false">
      <c r="A24" s="5" t="s">
        <v>174</v>
      </c>
      <c r="B24" s="16" t="n">
        <f aca="false">'Monthly Plan'!S13</f>
        <v>740504.065</v>
      </c>
      <c r="C24" s="17"/>
    </row>
    <row r="25" customFormat="false" ht="15" hidden="false" customHeight="false" outlineLevel="0" collapsed="false">
      <c r="A25" s="5" t="s">
        <v>175</v>
      </c>
      <c r="B25" s="18" t="n">
        <f aca="false">'Monthly Plan'!S5</f>
        <v>192119</v>
      </c>
      <c r="C25" s="17"/>
    </row>
    <row r="26" customFormat="false" ht="15" hidden="false" customHeight="false" outlineLevel="0" collapsed="false">
      <c r="A26" s="5" t="s">
        <v>176</v>
      </c>
      <c r="B26" s="18" t="n">
        <f aca="false">'Monthly Plan'!S7</f>
        <v>4</v>
      </c>
      <c r="C26" s="17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10" t="s">
        <v>177</v>
      </c>
      <c r="B28" s="2"/>
      <c r="C28" s="2"/>
    </row>
    <row r="29" customFormat="false" ht="15" hidden="false" customHeight="false" outlineLevel="0" collapsed="false">
      <c r="A29" s="19" t="s">
        <v>178</v>
      </c>
      <c r="B29" s="2"/>
      <c r="C29" s="2"/>
    </row>
    <row r="30" customFormat="false" ht="15" hidden="false" customHeight="false" outlineLevel="0" collapsed="false">
      <c r="A30" s="19" t="s">
        <v>179</v>
      </c>
      <c r="B30" s="2"/>
      <c r="C30" s="2"/>
    </row>
    <row r="31" customFormat="false" ht="15" hidden="false" customHeight="false" outlineLevel="0" collapsed="false">
      <c r="A31" s="19" t="s">
        <v>180</v>
      </c>
      <c r="B31" s="2"/>
      <c r="C31" s="2"/>
    </row>
    <row r="32" customFormat="false" ht="15" hidden="false" customHeight="false" outlineLevel="0" collapsed="false">
      <c r="A32" s="19" t="s">
        <v>181</v>
      </c>
      <c r="B32" s="2"/>
      <c r="C32" s="2"/>
    </row>
    <row r="33" customFormat="false" ht="15" hidden="false" customHeight="false" outlineLevel="0" collapsed="false">
      <c r="A33" s="19" t="s">
        <v>182</v>
      </c>
      <c r="B33" s="2"/>
      <c r="C3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2026-09-06T15:44:27Z</dcterms:created>
  <dc:creator>openpyxl</dc:creator>
  <dc:description/>
  <dc:language>en-US</dc:language>
  <cp:lastModifiedBy/>
  <dcterms:modified xsi:type="dcterms:W3CDTF">2026-09-06T15:44:27Z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